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8715" activeTab="0"/>
  </bookViews>
  <sheets>
    <sheet name="Cockpit" sheetId="1" r:id="rId1"/>
    <sheet name="Luftverbrauch" sheetId="2" r:id="rId2"/>
    <sheet name="Gay Lussac" sheetId="3" r:id="rId3"/>
    <sheet name="TG-Planung" sheetId="4" r:id="rId4"/>
    <sheet name="Drücke und Nitrox" sheetId="5" r:id="rId5"/>
    <sheet name="Partialdruckmethode" sheetId="6" r:id="rId6"/>
    <sheet name="Archimedes" sheetId="7" r:id="rId7"/>
    <sheet name="Überströmrechner" sheetId="8" r:id="rId8"/>
    <sheet name="Schall" sheetId="9" r:id="rId9"/>
    <sheet name="Licht und Farben" sheetId="10" r:id="rId10"/>
    <sheet name="Tauchprofil" sheetId="11" r:id="rId11"/>
    <sheet name="Reichweite" sheetId="12" state="hidden" r:id="rId12"/>
  </sheets>
  <definedNames>
    <definedName name="_Toc509674412" localSheetId="9">'Licht und Farben'!$B$10</definedName>
    <definedName name="_xlnm.Print_Area" localSheetId="4">'Drücke und Nitrox'!$B$1:$K$45</definedName>
    <definedName name="_xlnm.Print_Area" localSheetId="2">'Gay Lussac'!$B$1:$K$16</definedName>
    <definedName name="_xlnm.Print_Area" localSheetId="1">'Luftverbrauch'!$B$1:$K$37</definedName>
    <definedName name="_xlnm.Print_Area" localSheetId="11">'Reichweite'!$B$1:$J$24</definedName>
    <definedName name="Tauchgangsplanung">'TG-Planung'!$C$8</definedName>
  </definedNames>
  <calcPr fullCalcOnLoad="1"/>
</workbook>
</file>

<file path=xl/sharedStrings.xml><?xml version="1.0" encoding="utf-8"?>
<sst xmlns="http://schemas.openxmlformats.org/spreadsheetml/2006/main" count="548" uniqueCount="332">
  <si>
    <r>
      <t xml:space="preserve">Wir kennen das Phänomen Alle: Wasser vergrößert. Aber warum? 
</t>
    </r>
    <r>
      <rPr>
        <sz val="10"/>
        <rFont val="Arial"/>
        <family val="0"/>
      </rPr>
      <t xml:space="preserve">
Wird ein Lichtstrahl an der Grenzfläche zwischen zwei Medien zum Lot hin gebrochen,  so nennt man das Medium, in das der Strahl eintritt, </t>
    </r>
    <r>
      <rPr>
        <b/>
        <sz val="10"/>
        <rFont val="Arial"/>
        <family val="2"/>
      </rPr>
      <t xml:space="preserve">optisch dichter </t>
    </r>
    <r>
      <rPr>
        <sz val="10"/>
        <rFont val="Arial"/>
        <family val="0"/>
      </rPr>
      <t xml:space="preserve">als das Medium, aus dem der Strahl kommt. Das Medium, aus dem der Strahl kommt, nennt man dann </t>
    </r>
    <r>
      <rPr>
        <b/>
        <sz val="10"/>
        <rFont val="Arial"/>
        <family val="2"/>
      </rPr>
      <t>optisch dünner.</t>
    </r>
    <r>
      <rPr>
        <sz val="10"/>
        <rFont val="Arial"/>
        <family val="0"/>
      </rPr>
      <t xml:space="preserve">  Das Maß für die optische Dichte ist die </t>
    </r>
    <r>
      <rPr>
        <b/>
        <sz val="10"/>
        <rFont val="Arial"/>
        <family val="2"/>
      </rPr>
      <t>Brechzahl</t>
    </r>
    <r>
      <rPr>
        <sz val="10"/>
        <rFont val="Arial"/>
        <family val="0"/>
      </rPr>
      <t xml:space="preserve">. JE dichter das MEdium ist, desto höher die Brechzahl
Beispiel: Eis = Brechnzahl 1,31,  </t>
    </r>
    <r>
      <rPr>
        <b/>
        <sz val="10"/>
        <rFont val="Arial"/>
        <family val="2"/>
      </rPr>
      <t>Wasser: 1,33</t>
    </r>
    <r>
      <rPr>
        <sz val="10"/>
        <rFont val="Arial"/>
        <family val="0"/>
      </rPr>
      <t>,  Diamant: 2,42</t>
    </r>
  </si>
  <si>
    <r>
      <t xml:space="preserve">Aus diesem Grunde erscheinen Gegenstände um </t>
    </r>
    <r>
      <rPr>
        <b/>
        <sz val="10"/>
        <rFont val="Arial"/>
        <family val="2"/>
      </rPr>
      <t xml:space="preserve">1/3 </t>
    </r>
    <r>
      <rPr>
        <sz val="10"/>
        <rFont val="Arial"/>
        <family val="0"/>
      </rPr>
      <t xml:space="preserve">ihrer wahren Ausmasse </t>
    </r>
    <r>
      <rPr>
        <b/>
        <sz val="10"/>
        <rFont val="Arial"/>
        <family val="2"/>
      </rPr>
      <t>grösser</t>
    </r>
    <r>
      <rPr>
        <sz val="10"/>
        <rFont val="Arial"/>
        <family val="0"/>
      </rPr>
      <t xml:space="preserve"> (</t>
    </r>
    <r>
      <rPr>
        <b/>
        <sz val="10"/>
        <rFont val="Arial"/>
        <family val="2"/>
      </rPr>
      <t>also mal 1,33</t>
    </r>
    <r>
      <rPr>
        <sz val="10"/>
        <rFont val="Arial"/>
        <family val="0"/>
      </rPr>
      <t xml:space="preserve">). Hieraus folgt, das sie uns auch </t>
    </r>
    <r>
      <rPr>
        <b/>
        <sz val="10"/>
        <rFont val="Arial"/>
        <family val="2"/>
      </rPr>
      <t>1/4 (0,25) näher</t>
    </r>
    <r>
      <rPr>
        <sz val="10"/>
        <rFont val="Arial"/>
        <family val="0"/>
      </rPr>
      <t xml:space="preserve"> erscheinen =  </t>
    </r>
    <r>
      <rPr>
        <b/>
        <sz val="10"/>
        <rFont val="Arial"/>
        <family val="2"/>
      </rPr>
      <t>1 / 1,33 = 0,75</t>
    </r>
  </si>
  <si>
    <t xml:space="preserve">MOD= </t>
  </si>
  <si>
    <t>P</t>
  </si>
  <si>
    <t>T</t>
  </si>
  <si>
    <t>Maximale Tauchtiefe (MOD= maximum operation depth)</t>
  </si>
  <si>
    <t>Prozentanteil Sauerstoff in der Gasmischung</t>
  </si>
  <si>
    <t>Partialdruck des Sauerstoffes
 in der Gasmischung</t>
  </si>
  <si>
    <t>Maximale Tauchtiefe
(P*10)-10</t>
  </si>
  <si>
    <t>Umgebungs-druck
Po2/fo2</t>
  </si>
  <si>
    <r>
      <t>P</t>
    </r>
    <r>
      <rPr>
        <b/>
        <sz val="8"/>
        <rFont val="Arial"/>
        <family val="2"/>
      </rPr>
      <t>O2</t>
    </r>
  </si>
  <si>
    <r>
      <t>f</t>
    </r>
    <r>
      <rPr>
        <b/>
        <sz val="8"/>
        <rFont val="Arial"/>
        <family val="2"/>
      </rPr>
      <t>O2</t>
    </r>
  </si>
  <si>
    <t>Bemerkung</t>
  </si>
  <si>
    <t>((Po2/Fo2)*10)-10</t>
  </si>
  <si>
    <t>P=Po2+PN2+PA2</t>
  </si>
  <si>
    <r>
      <t>P</t>
    </r>
    <r>
      <rPr>
        <b/>
        <sz val="8"/>
        <rFont val="Arial"/>
        <family val="2"/>
      </rPr>
      <t>N2</t>
    </r>
  </si>
  <si>
    <r>
      <t>P</t>
    </r>
    <r>
      <rPr>
        <b/>
        <sz val="8"/>
        <rFont val="Arial"/>
        <family val="2"/>
      </rPr>
      <t>A2</t>
    </r>
  </si>
  <si>
    <t>Partialdruck des Stickstoffes
 in der Gasmischung</t>
  </si>
  <si>
    <t>Partialdruck des anderer Stoffe
 in der Gasmischung</t>
  </si>
  <si>
    <t>Gesamtdruck</t>
  </si>
  <si>
    <t>Druck eines Gasgemisches (Gesetz von Dalton)</t>
  </si>
  <si>
    <t>P=</t>
  </si>
  <si>
    <t>Am Gesamtdruck eines Gasgemisches sind Einzelgase entsprechend ihres Volumenanteiles beteiligt: in normaler Pressluft besitzt Sauerstoff 20,9 %, Stickstoff 78,1% und Edelgase 1% Anteile</t>
  </si>
  <si>
    <t>Pg=Fg*P</t>
  </si>
  <si>
    <t>Tiefe</t>
  </si>
  <si>
    <t>Umgebungs-druck
P=(T+10)/10</t>
  </si>
  <si>
    <r>
      <t xml:space="preserve">Partialdruck 
</t>
    </r>
    <r>
      <rPr>
        <sz val="10"/>
        <rFont val="Arial"/>
        <family val="2"/>
      </rPr>
      <t>P</t>
    </r>
    <r>
      <rPr>
        <sz val="8"/>
        <rFont val="Arial"/>
        <family val="2"/>
      </rPr>
      <t>O2=</t>
    </r>
    <r>
      <rPr>
        <sz val="10"/>
        <rFont val="Arial"/>
        <family val="2"/>
      </rPr>
      <t>F</t>
    </r>
    <r>
      <rPr>
        <sz val="8"/>
        <rFont val="Arial"/>
        <family val="2"/>
      </rPr>
      <t>O2*</t>
    </r>
    <r>
      <rPr>
        <sz val="10"/>
        <rFont val="Arial"/>
        <family val="2"/>
      </rPr>
      <t>P</t>
    </r>
  </si>
  <si>
    <t>Obere Grenze mit N32</t>
  </si>
  <si>
    <t>obere Grenze mit Pressluft</t>
  </si>
  <si>
    <t>Wasserdruck</t>
  </si>
  <si>
    <t>P=(T+10)/10</t>
  </si>
  <si>
    <t>T=(P*10)-10</t>
  </si>
  <si>
    <t>Druck</t>
  </si>
  <si>
    <t>Ergebnis</t>
  </si>
  <si>
    <t>Der Druck an der Wasseroberfläche beträgt 1 bar, je 10 m Wassertiefe entsprechen ebenfalls 1 bar</t>
  </si>
  <si>
    <t>Mit Luft vergleichbare Tauchtiefe (EAD= equivalent air depth)</t>
  </si>
  <si>
    <t>EAD=</t>
  </si>
  <si>
    <t>EAD</t>
  </si>
  <si>
    <t xml:space="preserve">Tauchtiefe
</t>
  </si>
  <si>
    <t>((1,0-fO2)/0,79)*(T+10))-10</t>
  </si>
  <si>
    <t>Atemminutenvolumen (AMV)</t>
  </si>
  <si>
    <t>Durch den Umgebungsdruck in der Tiefe muss z.B. in 10m Tiefe (2 bar) 
die doppelte Menge Luft eingeatmet werden, um das selbe Volumen 
der Lunge zu gewährleisten</t>
  </si>
  <si>
    <t>Um seinen persönliche AMV zu kennen, sollte einmal bei einem ruhigen TG der Verbrauch (bar) über</t>
  </si>
  <si>
    <t>verbrauchte Luft bar</t>
  </si>
  <si>
    <t>Flaschen-volumen in Liter</t>
  </si>
  <si>
    <t>t</t>
  </si>
  <si>
    <t>Zeit in Minuten</t>
  </si>
  <si>
    <r>
      <t xml:space="preserve">AMV </t>
    </r>
    <r>
      <rPr>
        <b/>
        <sz val="8"/>
        <rFont val="Arial"/>
        <family val="2"/>
      </rPr>
      <t>Oberfläche</t>
    </r>
  </si>
  <si>
    <t>Tiefe
P=(T+10)/10</t>
  </si>
  <si>
    <t>AMV  Tiefe</t>
  </si>
  <si>
    <t>Druck
P=(T+10)/10</t>
  </si>
  <si>
    <t xml:space="preserve">Tiefe
</t>
  </si>
  <si>
    <r>
      <t xml:space="preserve">AMV </t>
    </r>
    <r>
      <rPr>
        <b/>
        <sz val="8"/>
        <rFont val="Arial"/>
        <family val="2"/>
      </rPr>
      <t>Oberfl.</t>
    </r>
  </si>
  <si>
    <t>Partialdrücke</t>
  </si>
  <si>
    <t>Flaschenvolumen</t>
  </si>
  <si>
    <t>zur Verfügung stehende Luft</t>
  </si>
  <si>
    <t>Größe</t>
  </si>
  <si>
    <t>Fülldruck</t>
  </si>
  <si>
    <t>Inhalt</t>
  </si>
  <si>
    <t>Restdruck</t>
  </si>
  <si>
    <r>
      <t>P</t>
    </r>
    <r>
      <rPr>
        <b/>
        <sz val="10"/>
        <rFont val="Arial"/>
        <family val="2"/>
      </rPr>
      <t>reserv</t>
    </r>
  </si>
  <si>
    <r>
      <t>P</t>
    </r>
    <r>
      <rPr>
        <b/>
        <sz val="8"/>
        <rFont val="Arial"/>
        <family val="2"/>
      </rPr>
      <t>diff</t>
    </r>
  </si>
  <si>
    <r>
      <t>V</t>
    </r>
    <r>
      <rPr>
        <b/>
        <sz val="8"/>
        <rFont val="Arial"/>
        <family val="2"/>
      </rPr>
      <t>FL</t>
    </r>
  </si>
  <si>
    <r>
      <t>((P</t>
    </r>
    <r>
      <rPr>
        <sz val="8"/>
        <rFont val="Arial"/>
        <family val="2"/>
      </rPr>
      <t>diff</t>
    </r>
    <r>
      <rPr>
        <sz val="10"/>
        <rFont val="Arial"/>
        <family val="0"/>
      </rPr>
      <t xml:space="preserve"> * V</t>
    </r>
    <r>
      <rPr>
        <sz val="8"/>
        <rFont val="Arial"/>
        <family val="2"/>
      </rPr>
      <t>FL</t>
    </r>
    <r>
      <rPr>
        <sz val="10"/>
        <rFont val="Arial"/>
        <family val="0"/>
      </rPr>
      <t>)/P)/t</t>
    </r>
  </si>
  <si>
    <r>
      <t>V</t>
    </r>
    <r>
      <rPr>
        <b/>
        <sz val="8"/>
        <rFont val="Arial"/>
        <family val="2"/>
      </rPr>
      <t>olumen</t>
    </r>
  </si>
  <si>
    <t>Volumen *(P-Preserv)</t>
  </si>
  <si>
    <t>zur Verfügung stehender Flascheninhalt in Litern</t>
  </si>
  <si>
    <t>maximale Tauchgangsdauer</t>
  </si>
  <si>
    <t>Luftverbrauch, AMV, max. Tauchgangsdauer</t>
  </si>
  <si>
    <t>Flascheninhalt</t>
  </si>
  <si>
    <t>TG Dauer max</t>
  </si>
  <si>
    <t>F-Inhalt</t>
  </si>
  <si>
    <t>zur Verfügung 
stehender 
Flascheninhalt</t>
  </si>
  <si>
    <t>AMV Tiefe</t>
  </si>
  <si>
    <t>Atem-
minuten-
volumen</t>
  </si>
  <si>
    <t>TG Dauer</t>
  </si>
  <si>
    <t>Volumen in Lit</t>
  </si>
  <si>
    <t>P1</t>
  </si>
  <si>
    <t>V1</t>
  </si>
  <si>
    <t>P2</t>
  </si>
  <si>
    <t>Anfangsdruck in bar</t>
  </si>
  <si>
    <t>Enddruck in bar</t>
  </si>
  <si>
    <t>Anfangsvolumen in Liter</t>
  </si>
  <si>
    <t>Endtiefe</t>
  </si>
  <si>
    <t>Volumenänderung unter Druck (Gesetz von Boyle / Mariotte)</t>
  </si>
  <si>
    <t>Ab einem gewissen Teildruck = Partialdruck können Gase toxisch wirken, Sauerstoff z.B. ab &gt;1,6 bar</t>
  </si>
  <si>
    <t>Druck, Volumen, Partialdruck, Nitrox (MOD, EAD)</t>
  </si>
  <si>
    <t>(P * AMV Oberfläche)</t>
  </si>
  <si>
    <t>zur Verfügung:</t>
  </si>
  <si>
    <t>Atemminutenvolumen an der Oberfläche:</t>
  </si>
  <si>
    <t>Atemminutenvolumen in Tiefe x:</t>
  </si>
  <si>
    <t>zur Verfügung stehender 
Flascheninhalt /
AMV Tiefe</t>
  </si>
  <si>
    <t>Hiermit kann man nun sein AMV in beliebiger Tiefe berechnen</t>
  </si>
  <si>
    <t>Messung AMV</t>
  </si>
  <si>
    <t>… und nun Rückschlüsse auf eine (theoretisch) mögliche Tauchgangsdauer ziehen:</t>
  </si>
  <si>
    <t>Beispiel: ein Luftbalon mit 1 l Luft hat auf 10 m Tiefe (=2 bar) noch 0,5 l</t>
  </si>
  <si>
    <r>
      <t>P</t>
    </r>
    <r>
      <rPr>
        <b/>
        <sz val="8"/>
        <rFont val="Arial"/>
        <family val="2"/>
      </rPr>
      <t>O2 (Sauerstoff)</t>
    </r>
  </si>
  <si>
    <r>
      <t>P</t>
    </r>
    <r>
      <rPr>
        <b/>
        <sz val="8"/>
        <rFont val="Arial"/>
        <family val="2"/>
      </rPr>
      <t>n2 (Stickstoff)</t>
    </r>
  </si>
  <si>
    <t>Partialdruck Sauerstoffes / Stickstoff)
 in Gasmischung</t>
  </si>
  <si>
    <r>
      <t>f</t>
    </r>
    <r>
      <rPr>
        <b/>
        <sz val="8"/>
        <rFont val="Arial"/>
        <family val="2"/>
      </rPr>
      <t xml:space="preserve">O2 / </t>
    </r>
    <r>
      <rPr>
        <b/>
        <sz val="12"/>
        <rFont val="Arial"/>
        <family val="2"/>
      </rPr>
      <t>f</t>
    </r>
    <r>
      <rPr>
        <b/>
        <sz val="8"/>
        <rFont val="Arial"/>
        <family val="2"/>
      </rPr>
      <t>n2</t>
    </r>
  </si>
  <si>
    <r>
      <t>P</t>
    </r>
    <r>
      <rPr>
        <b/>
        <sz val="8"/>
        <rFont val="Arial"/>
        <family val="2"/>
      </rPr>
      <t xml:space="preserve">O2 / </t>
    </r>
    <r>
      <rPr>
        <b/>
        <sz val="12"/>
        <rFont val="Arial"/>
        <family val="2"/>
      </rPr>
      <t>P</t>
    </r>
    <r>
      <rPr>
        <b/>
        <sz val="8"/>
        <rFont val="Arial"/>
        <family val="2"/>
      </rPr>
      <t>n2</t>
    </r>
  </si>
  <si>
    <t>© H.Schach</t>
  </si>
  <si>
    <t>Die nachfolgenden Ausführungen dienen lediglich als unverbindliche Information. Es wird keinerlei Verantwortung oder Haftung für</t>
  </si>
  <si>
    <t>Schäden jeglicher Art übernommen.</t>
  </si>
  <si>
    <t>Eingabefeld</t>
  </si>
  <si>
    <t>Rechenfeld</t>
  </si>
  <si>
    <t>Zeit</t>
  </si>
  <si>
    <t>Meter</t>
  </si>
  <si>
    <t>Flossenschläge</t>
  </si>
  <si>
    <t>Wie weit komme ich in welcher Zeit?</t>
  </si>
  <si>
    <t>relaxten TG  für eine oder mehrere Minuten</t>
  </si>
  <si>
    <t>Messe Flossenschläge und zurückgelegte Strecke in m bei einem</t>
  </si>
  <si>
    <t>Tauchgeschwindigkeit / Reichweite</t>
  </si>
  <si>
    <t>V2=P1*V1/P2</t>
  </si>
  <si>
    <t>einen bestimmten Zeitraum in konstanter, geringer Tiefe gemessen werden.</t>
  </si>
  <si>
    <t>Druck &amp; Nitrox</t>
  </si>
  <si>
    <t>Klicke mit der Maus auf das Themengebiet</t>
  </si>
  <si>
    <t>Home</t>
  </si>
  <si>
    <t>Tauchprofile mit Excel, zum Ausdruck Grafik anklicken, dann drucken</t>
  </si>
  <si>
    <t>Minuten</t>
  </si>
  <si>
    <t>Tiefe als Minuszahlen eingeben, damit die Grafik richtig herum gezeichnet wird</t>
  </si>
  <si>
    <t>Kein Interface für den Tauchcomputer ? Hier ein Tauchprofil für Excel (manuelle Eingabe der Daten)</t>
  </si>
  <si>
    <t>Die Auftriebskraft eines Körpers ist genau so groß wie die Gewichtskraft des vom Körper verdrängten Mediums.</t>
  </si>
  <si>
    <t>Jeder Körper verliert in einer Flssigkeit scheinbar soviel an Gewicht, wie die von ihm verdrängte Flssigkeitsmenge wiegt.</t>
  </si>
  <si>
    <t xml:space="preserve">Ursache für die Auftriebskraft ist der Druckunterschied zwischen der Ober- und der Unterseite eines eingetauchten Körpers. </t>
  </si>
  <si>
    <t xml:space="preserve">Das heißt, es wirkt auf die unteren Teile der Oberfläche eines eingetauchten Körpers eine größere Kraft als auf die oberen Teile der Oberfläche. </t>
  </si>
  <si>
    <t>1)</t>
  </si>
  <si>
    <t>2)</t>
  </si>
  <si>
    <r>
      <t>Süßwasser 
(4</t>
    </r>
    <r>
      <rPr>
        <vertAlign val="superscript"/>
        <sz val="5"/>
        <rFont val="Arial"/>
        <family val="2"/>
      </rPr>
      <t>0</t>
    </r>
    <r>
      <rPr>
        <sz val="10"/>
        <rFont val="Arial"/>
        <family val="0"/>
      </rPr>
      <t xml:space="preserve"> C)</t>
    </r>
  </si>
  <si>
    <t>Blei</t>
  </si>
  <si>
    <t>Stahl</t>
  </si>
  <si>
    <t>Alu</t>
  </si>
  <si>
    <t>Neopren</t>
  </si>
  <si>
    <t>Luft</t>
  </si>
  <si>
    <t>Der Auf/- Abtrieb hängt von der Dichte des Mediums ab (Dichte = Masse ./. Volumen)</t>
  </si>
  <si>
    <r>
      <t xml:space="preserve">Gewicht
</t>
    </r>
    <r>
      <rPr>
        <sz val="10"/>
        <rFont val="Arial"/>
        <family val="0"/>
      </rPr>
      <t>Dichte</t>
    </r>
  </si>
  <si>
    <t>ziehen wir dies ab</t>
  </si>
  <si>
    <t>erhalten wir den verbleibenden Abtrieb</t>
  </si>
  <si>
    <t>Gewicht =</t>
  </si>
  <si>
    <t>Dichte =</t>
  </si>
  <si>
    <t xml:space="preserve">Salzwasser 
1,025 bis </t>
  </si>
  <si>
    <r>
      <t xml:space="preserve">10
</t>
    </r>
    <r>
      <rPr>
        <sz val="10"/>
        <rFont val="Arial"/>
        <family val="0"/>
      </rPr>
      <t>11,34</t>
    </r>
  </si>
  <si>
    <t>Verdrängung=</t>
  </si>
  <si>
    <t>Süsswasser</t>
  </si>
  <si>
    <t>Salzwasser</t>
  </si>
  <si>
    <t>Ein Körper wiegt 500kg und Verdrängt 300 liter</t>
  </si>
  <si>
    <t xml:space="preserve">Das Gewicht des verdrängten (Salzwassers) beträgt also 300 l * Dichte 1,035 = 311 kg, </t>
  </si>
  <si>
    <t xml:space="preserve">der Abtrieb ist dann also 500 - 311= 189kg. </t>
  </si>
  <si>
    <t>Um 189 kg zu heben, benötigt man 189kg / Dichte Wasser= 189 / 1,035= 183 liter Luft in einem Hebesack.</t>
  </si>
  <si>
    <t>Prinzip des Archimedes in der Anwendung</t>
  </si>
  <si>
    <t>Beispiel 1) Wieviel Wasser muss verdrängt werden, 
um ein Objekt in Süß- oder Salzwasser  an die Oberfläche zu bringen?</t>
  </si>
  <si>
    <t>©Hans.Schach http://www.shuttle2.de</t>
  </si>
  <si>
    <t>Flasche</t>
  </si>
  <si>
    <t>AMV</t>
  </si>
  <si>
    <t>Tiefe 1</t>
  </si>
  <si>
    <t>Zeit auf T</t>
  </si>
  <si>
    <t>Verbrauch in bar</t>
  </si>
  <si>
    <t>FL-Inhalt</t>
  </si>
  <si>
    <t>Oberfläche</t>
  </si>
  <si>
    <t>Deco 1, 2,3 ..</t>
  </si>
  <si>
    <t>Deco 2</t>
  </si>
  <si>
    <t>Tauchgangsplanung</t>
  </si>
  <si>
    <t>Luft vs.</t>
  </si>
  <si>
    <t>Nitrox</t>
  </si>
  <si>
    <t>AVM</t>
  </si>
  <si>
    <t>TG 1)</t>
  </si>
  <si>
    <t>Verbrauch</t>
  </si>
  <si>
    <t>Liter</t>
  </si>
  <si>
    <t>Gemisch N x</t>
  </si>
  <si>
    <t>Grundzeit</t>
  </si>
  <si>
    <t>Deco 9m</t>
  </si>
  <si>
    <t>Deco 6m</t>
  </si>
  <si>
    <t>Deco 3m</t>
  </si>
  <si>
    <t>Gesamt</t>
  </si>
  <si>
    <t>Wiederholungs-TG</t>
  </si>
  <si>
    <t>Oberflächenpause</t>
  </si>
  <si>
    <t>Whlg-Gruppe</t>
  </si>
  <si>
    <t>F</t>
  </si>
  <si>
    <t>Zeitzuschlag</t>
  </si>
  <si>
    <t>GZ+ZZ</t>
  </si>
  <si>
    <t>TG-Planung</t>
  </si>
  <si>
    <t>Überströmrechner</t>
  </si>
  <si>
    <t>Überström-rechner</t>
  </si>
  <si>
    <t>Überströmen</t>
  </si>
  <si>
    <t>Volumen</t>
  </si>
  <si>
    <t>Gesamtliter</t>
  </si>
  <si>
    <t>Summe</t>
  </si>
  <si>
    <t xml:space="preserve">Das Überströmen ist ein in der Praxis häufig angewendetes Verfahren, wenn auch aus Speicherflaschen oder aus Flaschen mit höherem Druck gefüllt werden soll. Dabei werden Spender- und Empfängerflasche mit einem Überströmschlauch (jährliche Überprüfung nicht vergessen!) verbunden und das Ventil der Spenderflasche aufgedreht. Das Ventil der Empfängerflasche wird nur ein wenig aufgedreht um Sinterfilter am Flaschenventil nicht zu beschädigen und die Spenderflasche nicht zu stark abzukühlem. </t>
  </si>
  <si>
    <t>Empfängerflasche</t>
  </si>
  <si>
    <t>Spenderflasche</t>
  </si>
  <si>
    <t>Reihenfolge</t>
  </si>
  <si>
    <t>Summe/Druck neu</t>
  </si>
  <si>
    <t>Überströmkaskade  (unten die verfügbaren Flaschen und gewünschte</t>
  </si>
  <si>
    <t>Ergebnis Neu:</t>
  </si>
  <si>
    <t xml:space="preserve">                                 Reihenfolge [1 bis 4] eintragen)</t>
  </si>
  <si>
    <t>http://www.shuttle2.de</t>
  </si>
  <si>
    <t xml:space="preserve">Der nach dem Überströmuen vorhandene Druck errechnet sich wie folgt: Gesamtvolumen Spender+Empfängerflasche dividiert (/)  Gesamtinhalt Spender- und Empfängerflasche
</t>
  </si>
  <si>
    <t>Summe/ Druck neu</t>
  </si>
  <si>
    <t>Druck neu =</t>
  </si>
  <si>
    <t>Schall</t>
  </si>
  <si>
    <t>Tauchphysik und Nützliches für die Praxis</t>
  </si>
  <si>
    <t xml:space="preserve">Unter Schall ist eine physikalische Welle zu verstehen, die in Ausbreitungsrichtung schwingt, also die Ausbreitung von Druck- und Dichteschwankungen in einem elastischen Medium wie Luft oder Wasser. Die Geschwindigkeit, mit der sich Schallwellen imn Medium ausbreiten, nennt man Schallgeschwindigkeit, Symbol  "c" (lat. celeritas = Schnelligkeit). Einheit der Schallgeschwindigkeit ist Meter pro Sekunde (m/s). Die Schallgeschwindigkeit berechnet sich nach der Formel 
</t>
  </si>
  <si>
    <t>Wobei T= Temperatur, S=Salzgehalt und D (depth)= Tiefe in Meter</t>
  </si>
  <si>
    <t>T (temperature)</t>
  </si>
  <si>
    <t>D (Depth)</t>
  </si>
  <si>
    <t>S (Salinität)</t>
  </si>
  <si>
    <t>c (Schallgeschwindigkeit)</t>
  </si>
  <si>
    <t>Die nachfolgenden Ausführungen dienen lediglich als unverbindliche Information. Es wird keinerlei Gewähr, Verantwortung oder Haftung für die Richtigkeit</t>
  </si>
  <si>
    <t>oder Schäden jeglicher Art übernommen.</t>
  </si>
  <si>
    <t>ggü. Luft bei</t>
  </si>
  <si>
    <r>
      <t>Im Wasser ist die Schallgeschwindigkeit abhängig von Dichte, Salzgehalt, Temperatur und Druck</t>
    </r>
    <r>
      <rPr>
        <sz val="10"/>
        <rFont val="Arial"/>
        <family val="0"/>
      </rPr>
      <t>.  Man geht</t>
    </r>
  </si>
  <si>
    <t>bei Süßwasser bei 273,15° Kelvin (K) = 0° C von 1.405 m/s aus, also etwa von der vierfachen Geschwindigkeit.</t>
  </si>
  <si>
    <r>
      <t xml:space="preserve">Für die Schallgeschwindigkeit bei unterschiedlichen Temperaturen gilt:  </t>
    </r>
    <r>
      <rPr>
        <b/>
        <i/>
        <sz val="10"/>
        <rFont val="Arial"/>
        <family val="2"/>
      </rPr>
      <t>331,5 × √( 1 + (1/273) × TCelsius))</t>
    </r>
  </si>
  <si>
    <r>
      <t xml:space="preserve">D.h., die </t>
    </r>
    <r>
      <rPr>
        <b/>
        <sz val="10"/>
        <rFont val="Arial"/>
        <family val="2"/>
      </rPr>
      <t xml:space="preserve">Schallgeschwindigkiet in der Luft bei 273,15° Kelvin (K) = 0 °C beträgt 331,5 m/s. </t>
    </r>
    <r>
      <rPr>
        <sz val="10"/>
        <rFont val="Arial"/>
        <family val="0"/>
      </rPr>
      <t xml:space="preserve"> Da Luftdruck und Luftdichte bei gleicher Temperatur zueinander proportional sind, </t>
    </r>
    <r>
      <rPr>
        <b/>
        <sz val="10"/>
        <rFont val="Arial"/>
        <family val="2"/>
      </rPr>
      <t>ist die Schallgeschwindigkeit c von der Temperatur der Luft abhängig</t>
    </r>
    <r>
      <rPr>
        <sz val="10"/>
        <rFont val="Arial"/>
        <family val="0"/>
      </rPr>
      <t xml:space="preserve"> und nicht vom Luftdruck. Die Geschwindigkeit ist also in den Bergen sowie auf Meereshöhe bei gleicher Temperatur gleich.
</t>
    </r>
  </si>
  <si>
    <r>
      <t xml:space="preserve">Eine empirisch ermittelte </t>
    </r>
    <r>
      <rPr>
        <b/>
        <sz val="10"/>
        <rFont val="Arial"/>
        <family val="2"/>
      </rPr>
      <t>Annäherungsformeln</t>
    </r>
    <r>
      <rPr>
        <sz val="10"/>
        <rFont val="Arial"/>
        <family val="0"/>
      </rPr>
      <t xml:space="preserve"> lautet:</t>
    </r>
    <r>
      <rPr>
        <b/>
        <i/>
        <sz val="10"/>
        <rFont val="Arial"/>
        <family val="2"/>
      </rPr>
      <t xml:space="preserve"> c= 1.449+4,6T-0,05T²+1,4(S-35)+0,017D</t>
    </r>
  </si>
  <si>
    <r>
      <t>Merke:</t>
    </r>
    <r>
      <rPr>
        <sz val="10"/>
        <rFont val="Arial"/>
        <family val="0"/>
      </rPr>
      <t xml:space="preserve"> Wirst du gefragt, um wieviel mal der Schall im Wasser schneller als in Luft ist, stelle die Gegenfrage: bei welcher Temperatur, Salinität und Tiefe??? :-)</t>
    </r>
  </si>
  <si>
    <t>Archimedes
(Auftrieb)</t>
  </si>
  <si>
    <t>Licht und Farben</t>
  </si>
  <si>
    <t>Beispiel 2): Wie hoch ist der negativer Auftrieb von X kg Blei?</t>
  </si>
  <si>
    <t>Hierzu rechnen wir zuerst, wieviel das Blei in etwa verdrängt (= Auftrieb) und ziehen es vom Gewicht (neg. Auftrieb) ab</t>
  </si>
  <si>
    <t>Beispiel 3): Wie hoch ist der Auftrieb von Tauchflaschen</t>
  </si>
  <si>
    <t>Gewicht Luft</t>
  </si>
  <si>
    <r>
      <t xml:space="preserve">Flaschengröße </t>
    </r>
    <r>
      <rPr>
        <i/>
        <sz val="10"/>
        <color indexed="10"/>
        <rFont val="Arial"/>
        <family val="2"/>
      </rPr>
      <t>V</t>
    </r>
  </si>
  <si>
    <r>
      <t xml:space="preserve">Druck </t>
    </r>
    <r>
      <rPr>
        <i/>
        <sz val="10"/>
        <color indexed="10"/>
        <rFont val="Arial"/>
        <family val="2"/>
      </rPr>
      <t>D</t>
    </r>
  </si>
  <si>
    <r>
      <t>V</t>
    </r>
    <r>
      <rPr>
        <sz val="10"/>
        <rFont val="Arial"/>
        <family val="0"/>
      </rPr>
      <t xml:space="preserve"> * </t>
    </r>
    <r>
      <rPr>
        <i/>
        <sz val="10"/>
        <color indexed="10"/>
        <rFont val="Arial"/>
        <family val="2"/>
      </rPr>
      <t xml:space="preserve">D </t>
    </r>
    <r>
      <rPr>
        <sz val="10"/>
        <rFont val="Arial"/>
        <family val="0"/>
      </rPr>
      <t>* 1,26g/l</t>
    </r>
  </si>
  <si>
    <r>
      <t>G</t>
    </r>
    <r>
      <rPr>
        <sz val="10"/>
        <rFont val="Arial"/>
        <family val="0"/>
      </rPr>
      <t xml:space="preserve"> / </t>
    </r>
    <r>
      <rPr>
        <i/>
        <sz val="10"/>
        <color indexed="10"/>
        <rFont val="Arial"/>
        <family val="2"/>
      </rPr>
      <t>Rho</t>
    </r>
  </si>
  <si>
    <r>
      <t xml:space="preserve"> Material </t>
    </r>
    <r>
      <rPr>
        <i/>
        <sz val="10"/>
        <color indexed="10"/>
        <rFont val="Arial"/>
        <family val="2"/>
      </rPr>
      <t>VM</t>
    </r>
  </si>
  <si>
    <r>
      <t>V</t>
    </r>
    <r>
      <rPr>
        <sz val="10"/>
        <rFont val="Arial"/>
        <family val="0"/>
      </rPr>
      <t xml:space="preserve">+ </t>
    </r>
    <r>
      <rPr>
        <i/>
        <sz val="10"/>
        <color indexed="10"/>
        <rFont val="Arial"/>
        <family val="2"/>
      </rPr>
      <t>VM</t>
    </r>
  </si>
  <si>
    <r>
      <t xml:space="preserve">Gewicht </t>
    </r>
    <r>
      <rPr>
        <i/>
        <sz val="10"/>
        <color indexed="10"/>
        <rFont val="Arial"/>
        <family val="2"/>
      </rPr>
      <t xml:space="preserve">G </t>
    </r>
    <r>
      <rPr>
        <sz val="10"/>
        <rFont val="Arial"/>
        <family val="2"/>
      </rPr>
      <t>(Alu-PTG)</t>
    </r>
  </si>
  <si>
    <r>
      <t xml:space="preserve">Gewicht </t>
    </r>
    <r>
      <rPr>
        <i/>
        <sz val="10"/>
        <color indexed="10"/>
        <rFont val="Arial"/>
        <family val="2"/>
      </rPr>
      <t xml:space="preserve">G </t>
    </r>
    <r>
      <rPr>
        <sz val="10"/>
        <rFont val="Arial"/>
        <family val="2"/>
      </rPr>
      <t>(Stahl-PTG)</t>
    </r>
  </si>
  <si>
    <r>
      <t>Dichte (</t>
    </r>
    <r>
      <rPr>
        <i/>
        <sz val="10"/>
        <color indexed="10"/>
        <rFont val="Arial"/>
        <family val="2"/>
      </rPr>
      <t>Rho</t>
    </r>
    <r>
      <rPr>
        <sz val="10"/>
        <rFont val="Arial"/>
        <family val="0"/>
      </rPr>
      <t>)</t>
    </r>
  </si>
  <si>
    <t>der Körper so lange aufwärts bewegen, bis sich alle auf ihn einwirkenden Kräfte ausgleichen.</t>
  </si>
  <si>
    <t xml:space="preserve">Es herrscht folglich ein Druckunterschied. Da jedes physikalische System stets bestrebt ist, einen Druckausgleich zu erzielen,  wird sich </t>
  </si>
  <si>
    <t>Wir haben nun: das Gesamtvolumen (das entprechend Wasser verdrängt und damit die Kraft, die nach oben wirkt) sowie die</t>
  </si>
  <si>
    <t>Stahl PTG</t>
  </si>
  <si>
    <t>Alu    PTG</t>
  </si>
  <si>
    <t>Gewicht mit Luft</t>
  </si>
  <si>
    <t>Gesamtvolumen</t>
  </si>
  <si>
    <t>Süßwasser</t>
  </si>
  <si>
    <t>Auftrieb</t>
  </si>
  <si>
    <t>Flasche + Luft</t>
  </si>
  <si>
    <t>Verdrängt Wasser</t>
  </si>
  <si>
    <t>Süß</t>
  </si>
  <si>
    <t>Salz  (* 1,035kg/dm³)</t>
  </si>
  <si>
    <t>Gewichte, die nach unten wirken und brauchen diese nur noch von einander abziehen. Salzwasser: Dichte berücksichtigen</t>
  </si>
  <si>
    <t>Bei leerer Flasche (50 bar)</t>
  </si>
  <si>
    <t>50 bar Luft</t>
  </si>
  <si>
    <t xml:space="preserve">Gewicht mit </t>
  </si>
  <si>
    <t>Unterschied voll / 50bar</t>
  </si>
  <si>
    <t>Licht ist ein Spektrum aus verschiedenen Farben, die unterschiedliche Wellenlängen haben und durch Wasser</t>
  </si>
  <si>
    <t>unterschiedlich absorbiert werden</t>
  </si>
  <si>
    <t>ab 400 m Tiefe ist kein Licht mehr vorhanden</t>
  </si>
  <si>
    <t>Klares Wasser absorbiert schon 80% der einfallenden Lichtmenge auf den ersten 10 m.</t>
  </si>
  <si>
    <t>Das kurzwellige Blau bleibt übrig</t>
  </si>
  <si>
    <t>Rot wird bei etwa 3 bis 5 m absorbiert und nimmt wird als violett, blau bis hin zu schwarz wahrgenommen</t>
  </si>
  <si>
    <r>
      <t xml:space="preserve"> </t>
    </r>
    <r>
      <rPr>
        <sz val="10"/>
        <rFont val="Arial"/>
        <family val="2"/>
      </rPr>
      <t>Orange verschwindet bei etwa 15 m</t>
    </r>
  </si>
  <si>
    <t>Gelb bei etwa 30 m</t>
  </si>
  <si>
    <r>
      <t xml:space="preserve"> </t>
    </r>
    <r>
      <rPr>
        <sz val="10"/>
        <rFont val="Arial"/>
        <family val="2"/>
      </rPr>
      <t>Grün  bei etwa  40 m</t>
    </r>
  </si>
  <si>
    <t>Licht &amp; Farben</t>
  </si>
  <si>
    <t>AMV &amp; Co</t>
  </si>
  <si>
    <t>Gay Lussac</t>
  </si>
  <si>
    <t>Gay Lussac und die Temperatur</t>
  </si>
  <si>
    <t xml:space="preserve">Die Gesetzt von Gay Lussac beschreiben die Zustandsänderungen eines Gases bei konstantem Druck und konstantem Volumen. Für das Tauchen spielt hierbei der konstantem Druck keine Rolle, jedoch die Änderungen bei konstantem Volumen und hier insbesondere die Änderung der Temperatur. 
Erwärmt sich die in einer Tauchflasche (PTG) eingeschlossene Gasmenge, nimmt die durchschnittliche Geschwindigkeit der Moleküle zu. Hierdurch steigt der Druck, da in der selben Zeit mehr Gasmoleküle auf die Wand prasseln. Bei dem in durch die Flasche gegebenem konstantem Volumen verhalten sich die Drücke eines idealen Gases wie die absoluten Temperaturen.
</t>
  </si>
  <si>
    <t xml:space="preserve">                   p1        T1                             T2
    Es gilt:   -----  =  ---   oder  p2 = p1 *----
                   p2        T2                             T1</t>
  </si>
  <si>
    <t>Druckänderung bei Temperaturänderung</t>
  </si>
  <si>
    <t>PTG</t>
  </si>
  <si>
    <t>Temperatur 1</t>
  </si>
  <si>
    <t>T1</t>
  </si>
  <si>
    <t>Temperatur 2</t>
  </si>
  <si>
    <t>T2</t>
  </si>
  <si>
    <t>0 ° C =</t>
  </si>
  <si>
    <t>Konstante</t>
  </si>
  <si>
    <r>
      <t>Beispiel</t>
    </r>
    <r>
      <rPr>
        <sz val="9"/>
        <rFont val="Arial"/>
        <family val="0"/>
      </rPr>
      <t>: Bei 30°C zeigt ein PTG einen Flaschendruck von 210 Bar an. Wie hoch wird der Druck beim Abkühlen auf  8° nach dem Abtauchen sein?</t>
    </r>
  </si>
  <si>
    <t>Achtung: bei starken Temperaturschwankungen verändert sich das Volumen ! Siehe "Gay Lussac"</t>
  </si>
  <si>
    <t>Druck bei T2</t>
  </si>
  <si>
    <t>p2= p*((t2+273K)/(t1+273))</t>
  </si>
  <si>
    <r>
      <t xml:space="preserve">
Zunächst die Temperatur in Kelvin umrechnen. (0° C = 273 Kelvin) , T1 = (30 + 273) K = 303 K, T2 = (8 + 273)K = 281
Dann nach obiger Formel (gesucht p2): </t>
    </r>
    <r>
      <rPr>
        <b/>
        <sz val="9"/>
        <rFont val="Arial"/>
        <family val="2"/>
      </rPr>
      <t>p2= 210bar * (281/303) = 195 bar</t>
    </r>
    <r>
      <rPr>
        <sz val="9"/>
        <rFont val="Arial"/>
        <family val="2"/>
      </rPr>
      <t xml:space="preserve">
</t>
    </r>
  </si>
  <si>
    <t>Lichtbrechung</t>
  </si>
  <si>
    <r>
      <t xml:space="preserve">Ein Sauerstoffpartialdruck von 1,4 bar gilt als Empfehlung für das Freizeit/ -Sporttauchen
Ein Sauerstoffpartialdruck von 1,6 bar ist als </t>
    </r>
    <r>
      <rPr>
        <b/>
        <sz val="8"/>
        <rFont val="Arial"/>
        <family val="2"/>
      </rPr>
      <t>max. zulässiger Partialdruck</t>
    </r>
    <r>
      <rPr>
        <sz val="8"/>
        <rFont val="Arial"/>
        <family val="2"/>
      </rPr>
      <t xml:space="preserve"> anzusehen.</t>
    </r>
  </si>
  <si>
    <t>Die EAD dienst dazu, Tabellen für Pressluft zur Ermittlung der Nullzeit zu verwenden</t>
  </si>
  <si>
    <t>mit dieser Tiefenangabe geht 
man in die Luft-Tauchtabelle</t>
  </si>
  <si>
    <t xml:space="preserve">Dekozeiten sind gemäß verwendeter Tabelle(n) (z.B. Deco2000) manuell einzutragen. Für die Planung sind die Empfehlungen der Tabelle(n) </t>
  </si>
  <si>
    <t>zu berücksichtigen bzw. zu beachten.</t>
  </si>
  <si>
    <t>Anmerkung: die Auftauchzeit bitte bei gesamt Grundzeit zuschlagen oder anteilig bei der jeweiligen Tiefenstufe.</t>
  </si>
  <si>
    <t>Partialdruckmethode zur Herstellung eines Nitroxgemisches</t>
  </si>
  <si>
    <t xml:space="preserve">Hier berechnet man die einzelnen Komponenten (Sauerstoff O2 und Stickstoff N2 nach ihren Teildruck = Partialdruckanteilen am Gesamtfülldruck der </t>
  </si>
  <si>
    <t>entsprechenden Tauchflasche und ermittelt, wieviel reiner Sauerstoff und wieviel Pressluft gefüllt werden müssen, um ein Zielmischungsverhältnis zu erhalten.</t>
  </si>
  <si>
    <t>IST</t>
  </si>
  <si>
    <t>Flaschengröße</t>
  </si>
  <si>
    <t>Gemisch =O2/N2</t>
  </si>
  <si>
    <t>Sauerstoff</t>
  </si>
  <si>
    <t>Stickstoff</t>
  </si>
  <si>
    <t>Druck vor Füllvorgang
(vorhandenes Gemisch)</t>
  </si>
  <si>
    <t>SOLL</t>
  </si>
  <si>
    <t>gewünschter Fülldruck</t>
  </si>
  <si>
    <t>Differenz</t>
  </si>
  <si>
    <t>zu füllen</t>
  </si>
  <si>
    <t>Füllen</t>
  </si>
  <si>
    <t>Sauerstofffüllmenge</t>
  </si>
  <si>
    <t>Sauerstoff (100%) füllen bis</t>
  </si>
  <si>
    <t>Pressluftfüllmenge</t>
  </si>
  <si>
    <t>Pressluft füllen bis</t>
  </si>
  <si>
    <t>Ergibt:</t>
  </si>
  <si>
    <t>Beispiel:</t>
  </si>
  <si>
    <t xml:space="preserve">Eine Tauchflasche ist mit </t>
  </si>
  <si>
    <t>normaler Pressluft ( 21% Sauerstoff und [verinfacht] 79% Stickstoff) gefüllt.</t>
  </si>
  <si>
    <t>Die in der Tauchflasche vorhandenen Teil (Partialdrücke) betragen</t>
  </si>
  <si>
    <t>*</t>
  </si>
  <si>
    <t>=</t>
  </si>
  <si>
    <t>Diese Flasche soll nach dem Füllen mit EAN</t>
  </si>
  <si>
    <t>gefüllt sein</t>
  </si>
  <si>
    <t>D.h., wir benötigen am Ende folgende Partialdrücke (Soll)</t>
  </si>
  <si>
    <t>-</t>
  </si>
  <si>
    <t xml:space="preserve">Hätte man reinen Sauerstoff und reinen Stickstoff zur Verfügung, wäre es einfach, die Anteile nun aufzufüllen. </t>
  </si>
  <si>
    <t xml:space="preserve">Meist hat man jedoch nur reinen Sauerstoff und normale Pressluft (Atemluft) zur Verfügung. </t>
  </si>
  <si>
    <t>Um den fehlenden Stickstoffanteil mit Hilfe von Pressluft (=79% Stickstoffanteil) aufzufüllen, benötigen wir</t>
  </si>
  <si>
    <t>/</t>
  </si>
  <si>
    <t xml:space="preserve">Hiermit geben wir jedoch auch  Sauerstoff zu, und zwar </t>
  </si>
  <si>
    <t>Diesen ziehen wir von der gesamten Sauerstoffdifferenz ab</t>
  </si>
  <si>
    <t>und erhalten den zuzugebenden reinen Sauerstoff</t>
  </si>
  <si>
    <t>Nitrox: Partialdruck-methode</t>
  </si>
  <si>
    <t>Welches ist der beste Mix für Tiefe x (BestMix)</t>
  </si>
  <si>
    <t>BestMix liefert das optimale Sauerstoffgemisch für eine beliebige Tiefe ausgehend vpn einem Partialdruck von 1,4 oder 1,6</t>
  </si>
  <si>
    <r>
      <rPr>
        <b/>
        <sz val="10"/>
        <rFont val="Arial"/>
        <family val="2"/>
      </rPr>
      <t>P</t>
    </r>
    <r>
      <rPr>
        <b/>
        <sz val="8"/>
        <rFont val="Arial"/>
        <family val="2"/>
      </rPr>
      <t>O2</t>
    </r>
  </si>
  <si>
    <t>BestMix</t>
  </si>
  <si>
    <t>BestMix = PO2max / P</t>
  </si>
  <si>
    <t>Druck auf Tiefe</t>
  </si>
  <si>
    <t xml:space="preserve">Einschränkung: </t>
  </si>
  <si>
    <t>Nur für Drücke bis 200bar geeignet (Gasgesetze gelten bei Druck nicht linear)</t>
  </si>
  <si>
    <t>was sich oberhalb von 200bar bemerkbar auswirkt.</t>
  </si>
  <si>
    <t>Bei 300bar Speicherflaschen empfhielt es sich, mit Korrekturfaktoren (10%)</t>
  </si>
  <si>
    <t xml:space="preserve">zu arbeiten.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</si>
</sst>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quot;bar&quot;"/>
    <numFmt numFmtId="165" formatCode="0.00\ &quot;m&quot;"/>
    <numFmt numFmtId="166" formatCode="#,##0.00\ &quot;bar&quot;"/>
    <numFmt numFmtId="167" formatCode="#,##0.000"/>
    <numFmt numFmtId="168" formatCode="#,##0.0\ &quot;bar&quot;"/>
    <numFmt numFmtId="169" formatCode="0.0\ &quot;bar&quot;"/>
    <numFmt numFmtId="170" formatCode="0.0%"/>
    <numFmt numFmtId="171" formatCode="0.0\ &quot;m&quot;"/>
    <numFmt numFmtId="172" formatCode="#,##0.0"/>
    <numFmt numFmtId="173" formatCode="0.0\ &quot; l&quot;"/>
    <numFmt numFmtId="174" formatCode="0\ &quot;bar&quot;"/>
    <numFmt numFmtId="175" formatCode="0\ &quot;min&quot;"/>
    <numFmt numFmtId="176" formatCode="0\ &quot;Liter/m&quot;"/>
    <numFmt numFmtId="177" formatCode="#,##0.0\ &quot;l&quot;"/>
    <numFmt numFmtId="178" formatCode="0.0\ &quot;l&quot;"/>
    <numFmt numFmtId="179" formatCode="0.00000\ &quot;kg/dm³&quot;"/>
    <numFmt numFmtId="180" formatCode="0.000\ &quot;kg/dm³&quot;"/>
    <numFmt numFmtId="181" formatCode="0.00\ &quot;kg/dm³&quot;"/>
    <numFmt numFmtId="182" formatCode="0\ &quot;kg&quot;"/>
    <numFmt numFmtId="183" formatCode="&quot;=&quot;\ #,##0.000\ "/>
    <numFmt numFmtId="184" formatCode="#,##0.000\ &quot;kg&quot;"/>
    <numFmt numFmtId="185" formatCode="0\ &quot;liter&quot;"/>
    <numFmt numFmtId="186" formatCode="&quot;=&quot;\ #,##0.0\ &quot;bar&quot;"/>
    <numFmt numFmtId="187" formatCode="0\ &quot;l&quot;"/>
    <numFmt numFmtId="188" formatCode="0\ &quot;m&quot;"/>
    <numFmt numFmtId="189" formatCode="0.0\ &quot;l/min&quot;"/>
    <numFmt numFmtId="190" formatCode="0\ &quot;%&quot;"/>
    <numFmt numFmtId="191" formatCode="0\ &quot;lit&quot;"/>
    <numFmt numFmtId="192" formatCode="#,##0\ &quot;bar/l&quot;"/>
    <numFmt numFmtId="193" formatCode="#,##0\ &quot; / &quot;"/>
    <numFmt numFmtId="194" formatCode="#,##0\ &quot; = &quot;"/>
    <numFmt numFmtId="195" formatCode="0\ &quot;°C&quot;"/>
    <numFmt numFmtId="196" formatCode="0.0\ &quot;fach&quot;"/>
    <numFmt numFmtId="197" formatCode="#,##0.0\ &quot;m/s&quot;"/>
    <numFmt numFmtId="198" formatCode="#,##0\ &quot;m/s&quot;"/>
    <numFmt numFmtId="199" formatCode="0.0\ &quot;kg&quot;"/>
    <numFmt numFmtId="200" formatCode="&quot;Dichte =&quot;\ 0.00\ &quot;kg/dm³&quot;"/>
    <numFmt numFmtId="201" formatCode="0.0\ &quot; °C&quot;"/>
    <numFmt numFmtId="202" formatCode="0\ &quot;K&quot;"/>
    <numFmt numFmtId="203" formatCode="#,##0\ &quot;barl&quot;"/>
    <numFmt numFmtId="204" formatCode="0\ &quot;Liter&quot;"/>
    <numFmt numFmtId="205" formatCode="0\ &quot;Bar&quot;"/>
    <numFmt numFmtId="206" formatCode="#,###\ &quot;Liter&quot;"/>
    <numFmt numFmtId="207" formatCode="&quot;=&quot;\ #,###\ &quot;Liter&quot;"/>
    <numFmt numFmtId="208" formatCode="\ #,###\ &quot;Liter&quot;"/>
    <numFmt numFmtId="209" formatCode="0.0\ &quot;Bar&quot;"/>
    <numFmt numFmtId="210" formatCode="0.00\ &quot;bar&quot;"/>
    <numFmt numFmtId="211" formatCode="&quot;EAN&quot;\ ##,##0"/>
    <numFmt numFmtId="212" formatCode="&quot;Ja&quot;;&quot;Ja&quot;;&quot;Nein&quot;"/>
    <numFmt numFmtId="213" formatCode="&quot;Wahr&quot;;&quot;Wahr&quot;;&quot;Falsch&quot;"/>
    <numFmt numFmtId="214" formatCode="&quot;Ein&quot;;&quot;Ein&quot;;&quot;Aus&quot;"/>
    <numFmt numFmtId="215" formatCode="[$€-2]\ #,##0.00_);[Red]\([$€-2]\ #,##0.00\)"/>
  </numFmts>
  <fonts count="74">
    <font>
      <sz val="10"/>
      <name val="Arial"/>
      <family val="0"/>
    </font>
    <font>
      <sz val="8"/>
      <name val="Arial"/>
      <family val="2"/>
    </font>
    <font>
      <sz val="12"/>
      <name val="Arial"/>
      <family val="2"/>
    </font>
    <font>
      <b/>
      <sz val="10"/>
      <name val="Arial"/>
      <family val="2"/>
    </font>
    <font>
      <b/>
      <sz val="12"/>
      <name val="Arial"/>
      <family val="2"/>
    </font>
    <font>
      <b/>
      <sz val="8"/>
      <name val="Arial"/>
      <family val="2"/>
    </font>
    <font>
      <i/>
      <sz val="10"/>
      <name val="Arial"/>
      <family val="2"/>
    </font>
    <font>
      <b/>
      <u val="single"/>
      <sz val="10"/>
      <name val="Arial"/>
      <family val="2"/>
    </font>
    <font>
      <b/>
      <sz val="10"/>
      <color indexed="9"/>
      <name val="Arial"/>
      <family val="2"/>
    </font>
    <font>
      <sz val="10"/>
      <color indexed="9"/>
      <name val="Arial"/>
      <family val="2"/>
    </font>
    <font>
      <i/>
      <sz val="12"/>
      <name val="Arial"/>
      <family val="2"/>
    </font>
    <font>
      <i/>
      <sz val="8"/>
      <name val="Arial"/>
      <family val="2"/>
    </font>
    <font>
      <sz val="18"/>
      <color indexed="10"/>
      <name val="Arial"/>
      <family val="2"/>
    </font>
    <font>
      <sz val="10"/>
      <color indexed="8"/>
      <name val="Arial"/>
      <family val="2"/>
    </font>
    <font>
      <u val="single"/>
      <sz val="10"/>
      <color indexed="12"/>
      <name val="Arial"/>
      <family val="0"/>
    </font>
    <font>
      <u val="single"/>
      <sz val="12"/>
      <color indexed="36"/>
      <name val="Arial"/>
      <family val="0"/>
    </font>
    <font>
      <u val="single"/>
      <sz val="8"/>
      <color indexed="12"/>
      <name val="Arial"/>
      <family val="2"/>
    </font>
    <font>
      <vertAlign val="superscript"/>
      <sz val="5"/>
      <name val="Arial"/>
      <family val="2"/>
    </font>
    <font>
      <u val="single"/>
      <sz val="10"/>
      <name val="Arial"/>
      <family val="2"/>
    </font>
    <font>
      <b/>
      <u val="single"/>
      <sz val="10"/>
      <color indexed="9"/>
      <name val="Arial"/>
      <family val="2"/>
    </font>
    <font>
      <u val="single"/>
      <sz val="9"/>
      <color indexed="12"/>
      <name val="Arial"/>
      <family val="0"/>
    </font>
    <font>
      <i/>
      <sz val="10"/>
      <color indexed="9"/>
      <name val="Arial"/>
      <family val="2"/>
    </font>
    <font>
      <i/>
      <u val="single"/>
      <sz val="6"/>
      <color indexed="12"/>
      <name val="Arial"/>
      <family val="2"/>
    </font>
    <font>
      <b/>
      <sz val="12"/>
      <color indexed="9"/>
      <name val="Arial"/>
      <family val="2"/>
    </font>
    <font>
      <b/>
      <sz val="10"/>
      <color indexed="10"/>
      <name val="Arial"/>
      <family val="2"/>
    </font>
    <font>
      <b/>
      <i/>
      <sz val="8"/>
      <name val="Arial"/>
      <family val="2"/>
    </font>
    <font>
      <b/>
      <u val="single"/>
      <sz val="12"/>
      <name val="Arial"/>
      <family val="2"/>
    </font>
    <font>
      <b/>
      <i/>
      <sz val="10"/>
      <name val="Arial"/>
      <family val="2"/>
    </font>
    <font>
      <b/>
      <i/>
      <sz val="12"/>
      <name val="Arial"/>
      <family val="2"/>
    </font>
    <font>
      <sz val="7"/>
      <name val="Times New Roman"/>
      <family val="1"/>
    </font>
    <font>
      <i/>
      <sz val="10"/>
      <color indexed="10"/>
      <name val="Arial"/>
      <family val="2"/>
    </font>
    <font>
      <sz val="9"/>
      <name val="Arial"/>
      <family val="2"/>
    </font>
    <font>
      <b/>
      <sz val="9"/>
      <name val="Arial"/>
      <family val="2"/>
    </font>
    <font>
      <b/>
      <sz val="14"/>
      <color indexed="9"/>
      <name val="Arial"/>
      <family val="2"/>
    </font>
    <font>
      <b/>
      <sz val="14"/>
      <name val="Arial"/>
      <family val="0"/>
    </font>
    <font>
      <sz val="14"/>
      <name val="Arial"/>
      <family val="0"/>
    </font>
    <font>
      <u val="single"/>
      <sz val="14"/>
      <name val="Arial"/>
      <family val="0"/>
    </font>
    <font>
      <sz val="8"/>
      <color indexed="8"/>
      <name val="Arial"/>
      <family val="0"/>
    </font>
    <font>
      <b/>
      <sz val="8"/>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63"/>
        <bgColor indexed="64"/>
      </patternFill>
    </fill>
    <fill>
      <patternFill patternType="solid">
        <fgColor indexed="44"/>
        <bgColor indexed="64"/>
      </patternFill>
    </fill>
    <fill>
      <patternFill patternType="solid">
        <fgColor theme="0"/>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color indexed="9"/>
      </bottom>
    </border>
    <border>
      <left>
        <color indexed="63"/>
      </left>
      <right>
        <color indexed="63"/>
      </right>
      <top style="thin"/>
      <bottom style="double"/>
    </border>
    <border>
      <left>
        <color indexed="63"/>
      </left>
      <right>
        <color indexed="63"/>
      </right>
      <top style="double"/>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double"/>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medium"/>
      <top style="medium"/>
      <bottom style="medium"/>
    </border>
    <border>
      <left style="medium"/>
      <right style="medium"/>
      <top>
        <color indexed="63"/>
      </top>
      <bottom style="medium"/>
    </border>
    <border>
      <left>
        <color indexed="63"/>
      </left>
      <right style="medium"/>
      <top style="thin"/>
      <bottom style="medium"/>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6" borderId="2"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14" fillId="0" borderId="0" applyNumberFormat="0" applyFill="0" applyBorder="0" applyAlignment="0" applyProtection="0"/>
    <xf numFmtId="0" fontId="6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32" borderId="9" applyNumberFormat="0" applyAlignment="0" applyProtection="0"/>
  </cellStyleXfs>
  <cellXfs count="574">
    <xf numFmtId="0" fontId="0" fillId="0" borderId="0" xfId="0" applyAlignment="1">
      <alignment/>
    </xf>
    <xf numFmtId="0" fontId="3" fillId="0" borderId="0" xfId="0" applyFont="1" applyAlignment="1">
      <alignment/>
    </xf>
    <xf numFmtId="164" fontId="3" fillId="0" borderId="0" xfId="0" applyNumberFormat="1" applyFont="1" applyAlignment="1">
      <alignment horizontal="center"/>
    </xf>
    <xf numFmtId="0" fontId="0" fillId="0" borderId="0" xfId="0" applyFill="1" applyAlignment="1">
      <alignment/>
    </xf>
    <xf numFmtId="164" fontId="3" fillId="0" borderId="0" xfId="0" applyNumberFormat="1" applyFont="1" applyFill="1" applyAlignment="1">
      <alignment horizontal="center"/>
    </xf>
    <xf numFmtId="164" fontId="3" fillId="0" borderId="0" xfId="0" applyNumberFormat="1" applyFont="1" applyFill="1" applyAlignment="1">
      <alignment/>
    </xf>
    <xf numFmtId="168" fontId="3" fillId="0" borderId="0" xfId="0" applyNumberFormat="1" applyFont="1" applyAlignment="1">
      <alignment/>
    </xf>
    <xf numFmtId="0" fontId="0" fillId="0" borderId="10" xfId="0" applyFill="1" applyBorder="1" applyAlignment="1">
      <alignment/>
    </xf>
    <xf numFmtId="0" fontId="0" fillId="0" borderId="10" xfId="0" applyBorder="1" applyAlignment="1">
      <alignment/>
    </xf>
    <xf numFmtId="0" fontId="3" fillId="0" borderId="0" xfId="0" applyFont="1" applyAlignment="1">
      <alignment vertical="top"/>
    </xf>
    <xf numFmtId="0" fontId="7" fillId="0" borderId="0" xfId="0" applyFont="1" applyAlignment="1">
      <alignment/>
    </xf>
    <xf numFmtId="0" fontId="1" fillId="0" borderId="11" xfId="0" applyFont="1" applyBorder="1" applyAlignment="1">
      <alignment horizontal="center" vertical="top" wrapText="1"/>
    </xf>
    <xf numFmtId="0" fontId="0" fillId="0" borderId="11" xfId="0" applyFill="1" applyBorder="1" applyAlignment="1">
      <alignment/>
    </xf>
    <xf numFmtId="0" fontId="0" fillId="0" borderId="11" xfId="0" applyBorder="1" applyAlignment="1">
      <alignment/>
    </xf>
    <xf numFmtId="164" fontId="3" fillId="0" borderId="11" xfId="0" applyNumberFormat="1" applyFont="1" applyFill="1" applyBorder="1" applyAlignment="1">
      <alignment horizontal="center"/>
    </xf>
    <xf numFmtId="164" fontId="3" fillId="0" borderId="11" xfId="0" applyNumberFormat="1" applyFont="1" applyFill="1" applyBorder="1" applyAlignment="1">
      <alignment/>
    </xf>
    <xf numFmtId="0" fontId="1" fillId="0" borderId="11" xfId="0" applyFont="1" applyFill="1" applyBorder="1" applyAlignment="1">
      <alignment horizontal="center" vertical="top" wrapText="1"/>
    </xf>
    <xf numFmtId="0" fontId="1" fillId="0" borderId="0" xfId="0" applyFont="1" applyAlignment="1">
      <alignment/>
    </xf>
    <xf numFmtId="0" fontId="3" fillId="0" borderId="0" xfId="0" applyFont="1" applyFill="1" applyAlignment="1">
      <alignment/>
    </xf>
    <xf numFmtId="0" fontId="8" fillId="33" borderId="0" xfId="0" applyFont="1" applyFill="1" applyAlignment="1">
      <alignment/>
    </xf>
    <xf numFmtId="0" fontId="9" fillId="33" borderId="0" xfId="0" applyFont="1" applyFill="1" applyAlignment="1">
      <alignment/>
    </xf>
    <xf numFmtId="0" fontId="7" fillId="34" borderId="12" xfId="0" applyFont="1" applyFill="1" applyBorder="1" applyAlignment="1">
      <alignment vertical="top"/>
    </xf>
    <xf numFmtId="0" fontId="0" fillId="34" borderId="12" xfId="0" applyFill="1" applyBorder="1" applyAlignment="1">
      <alignment/>
    </xf>
    <xf numFmtId="0" fontId="7" fillId="34" borderId="0" xfId="0" applyFont="1" applyFill="1" applyAlignment="1">
      <alignment vertical="top"/>
    </xf>
    <xf numFmtId="164" fontId="3" fillId="34" borderId="0" xfId="0" applyNumberFormat="1" applyFont="1" applyFill="1" applyAlignment="1">
      <alignment horizontal="center"/>
    </xf>
    <xf numFmtId="164" fontId="3" fillId="34" borderId="0" xfId="0" applyNumberFormat="1" applyFont="1" applyFill="1" applyAlignment="1">
      <alignment/>
    </xf>
    <xf numFmtId="168" fontId="3" fillId="34" borderId="0" xfId="0" applyNumberFormat="1" applyFont="1" applyFill="1" applyAlignment="1">
      <alignment/>
    </xf>
    <xf numFmtId="0" fontId="0" fillId="34" borderId="0" xfId="0" applyFill="1" applyAlignment="1">
      <alignment/>
    </xf>
    <xf numFmtId="0" fontId="7" fillId="34" borderId="12" xfId="0" applyFont="1" applyFill="1" applyBorder="1" applyAlignment="1">
      <alignment/>
    </xf>
    <xf numFmtId="0" fontId="6" fillId="34" borderId="12" xfId="0" applyFont="1" applyFill="1" applyBorder="1" applyAlignment="1">
      <alignment/>
    </xf>
    <xf numFmtId="0" fontId="7" fillId="34" borderId="0" xfId="0" applyFont="1" applyFill="1" applyAlignment="1">
      <alignment/>
    </xf>
    <xf numFmtId="0" fontId="3" fillId="34" borderId="0" xfId="0" applyFont="1" applyFill="1" applyAlignment="1">
      <alignment/>
    </xf>
    <xf numFmtId="0" fontId="6" fillId="0" borderId="0" xfId="0" applyFont="1" applyFill="1" applyAlignment="1">
      <alignment/>
    </xf>
    <xf numFmtId="0" fontId="1" fillId="0" borderId="0" xfId="0" applyFont="1" applyAlignment="1">
      <alignment horizontal="center" wrapText="1"/>
    </xf>
    <xf numFmtId="0" fontId="3" fillId="0" borderId="11" xfId="0" applyFont="1" applyFill="1" applyBorder="1" applyAlignment="1">
      <alignment/>
    </xf>
    <xf numFmtId="0" fontId="3" fillId="0" borderId="11" xfId="0" applyFont="1" applyFill="1" applyBorder="1" applyAlignment="1">
      <alignment horizontal="center"/>
    </xf>
    <xf numFmtId="0" fontId="0" fillId="0" borderId="0" xfId="0" applyAlignment="1" quotePrefix="1">
      <alignment/>
    </xf>
    <xf numFmtId="173" fontId="3" fillId="35" borderId="11" xfId="0" applyNumberFormat="1" applyFont="1" applyFill="1" applyBorder="1" applyAlignment="1">
      <alignment horizontal="center"/>
    </xf>
    <xf numFmtId="174" fontId="3" fillId="35" borderId="11" xfId="0" applyNumberFormat="1" applyFont="1" applyFill="1" applyBorder="1" applyAlignment="1">
      <alignment horizontal="center"/>
    </xf>
    <xf numFmtId="177" fontId="3" fillId="36" borderId="11" xfId="0" applyNumberFormat="1" applyFont="1" applyFill="1" applyBorder="1" applyAlignment="1">
      <alignment horizontal="center"/>
    </xf>
    <xf numFmtId="0" fontId="3" fillId="0" borderId="13" xfId="0" applyFont="1" applyFill="1" applyBorder="1" applyAlignment="1">
      <alignment/>
    </xf>
    <xf numFmtId="0" fontId="3" fillId="0" borderId="14" xfId="0" applyFont="1" applyFill="1" applyBorder="1" applyAlignment="1">
      <alignment horizontal="center"/>
    </xf>
    <xf numFmtId="0" fontId="3" fillId="0" borderId="15" xfId="0" applyFont="1" applyFill="1" applyBorder="1" applyAlignment="1">
      <alignment/>
    </xf>
    <xf numFmtId="0" fontId="3" fillId="0" borderId="15" xfId="0" applyFont="1" applyFill="1" applyBorder="1" applyAlignment="1">
      <alignment horizontal="center"/>
    </xf>
    <xf numFmtId="0" fontId="0" fillId="0" borderId="15" xfId="0" applyFill="1" applyBorder="1" applyAlignment="1">
      <alignment/>
    </xf>
    <xf numFmtId="0" fontId="4" fillId="0" borderId="16" xfId="0" applyFont="1" applyFill="1" applyBorder="1" applyAlignment="1">
      <alignment horizontal="center"/>
    </xf>
    <xf numFmtId="0" fontId="3" fillId="0" borderId="17" xfId="0" applyFont="1" applyFill="1" applyBorder="1" applyAlignment="1">
      <alignment horizontal="center"/>
    </xf>
    <xf numFmtId="173" fontId="3" fillId="35" borderId="16" xfId="0" applyNumberFormat="1" applyFont="1" applyFill="1" applyBorder="1" applyAlignment="1">
      <alignment horizontal="center"/>
    </xf>
    <xf numFmtId="177" fontId="3" fillId="36" borderId="17" xfId="0" applyNumberFormat="1" applyFont="1" applyFill="1" applyBorder="1" applyAlignment="1">
      <alignment horizontal="center"/>
    </xf>
    <xf numFmtId="0" fontId="4" fillId="0" borderId="14" xfId="0" applyFont="1" applyBorder="1" applyAlignment="1">
      <alignment horizontal="center"/>
    </xf>
    <xf numFmtId="0" fontId="0" fillId="0" borderId="15" xfId="0" applyBorder="1" applyAlignment="1">
      <alignment/>
    </xf>
    <xf numFmtId="0" fontId="4" fillId="0" borderId="15" xfId="0" applyFont="1" applyBorder="1" applyAlignment="1">
      <alignment horizontal="center"/>
    </xf>
    <xf numFmtId="0" fontId="0" fillId="0" borderId="18" xfId="0" applyBorder="1" applyAlignment="1">
      <alignment/>
    </xf>
    <xf numFmtId="0" fontId="1" fillId="0" borderId="16" xfId="0" applyFont="1" applyBorder="1" applyAlignment="1">
      <alignment horizontal="center" vertical="top" wrapText="1"/>
    </xf>
    <xf numFmtId="0" fontId="0" fillId="0" borderId="0" xfId="0" applyBorder="1" applyAlignment="1">
      <alignment/>
    </xf>
    <xf numFmtId="0" fontId="0" fillId="0" borderId="0" xfId="0" applyFill="1" applyBorder="1" applyAlignment="1">
      <alignment/>
    </xf>
    <xf numFmtId="0" fontId="0" fillId="0" borderId="17" xfId="0" applyBorder="1" applyAlignment="1">
      <alignment/>
    </xf>
    <xf numFmtId="165" fontId="3" fillId="35" borderId="16" xfId="0" applyNumberFormat="1" applyFont="1" applyFill="1" applyBorder="1" applyAlignment="1">
      <alignment horizontal="center"/>
    </xf>
    <xf numFmtId="0" fontId="0" fillId="0" borderId="11" xfId="0" applyBorder="1" applyAlignment="1">
      <alignment horizontal="center"/>
    </xf>
    <xf numFmtId="0" fontId="3" fillId="0" borderId="13" xfId="0" applyFont="1" applyBorder="1" applyAlignment="1">
      <alignment/>
    </xf>
    <xf numFmtId="166" fontId="3" fillId="36" borderId="11" xfId="0" applyNumberFormat="1" applyFont="1" applyFill="1" applyBorder="1" applyAlignment="1">
      <alignment horizontal="center"/>
    </xf>
    <xf numFmtId="176" fontId="3" fillId="35" borderId="11" xfId="0" applyNumberFormat="1" applyFont="1" applyFill="1" applyBorder="1" applyAlignment="1">
      <alignment horizontal="left"/>
    </xf>
    <xf numFmtId="0" fontId="6" fillId="0" borderId="18" xfId="0" applyFont="1" applyFill="1" applyBorder="1" applyAlignment="1">
      <alignment horizontal="center"/>
    </xf>
    <xf numFmtId="0" fontId="1" fillId="0" borderId="17" xfId="0" applyFont="1" applyBorder="1" applyAlignment="1">
      <alignment horizontal="center" vertical="top" wrapText="1"/>
    </xf>
    <xf numFmtId="0" fontId="0" fillId="0" borderId="18" xfId="0" applyBorder="1" applyAlignment="1">
      <alignment horizontal="center"/>
    </xf>
    <xf numFmtId="176" fontId="3" fillId="36" borderId="17" xfId="0" applyNumberFormat="1" applyFont="1" applyFill="1" applyBorder="1" applyAlignment="1">
      <alignment horizontal="center"/>
    </xf>
    <xf numFmtId="0" fontId="0" fillId="0" borderId="18" xfId="0" applyBorder="1" applyAlignment="1" quotePrefix="1">
      <alignment horizontal="center"/>
    </xf>
    <xf numFmtId="0" fontId="3" fillId="0" borderId="19" xfId="0" applyFont="1" applyBorder="1" applyAlignment="1">
      <alignment/>
    </xf>
    <xf numFmtId="0" fontId="3" fillId="0" borderId="14" xfId="0" applyFont="1" applyBorder="1" applyAlignment="1">
      <alignment horizontal="center"/>
    </xf>
    <xf numFmtId="0" fontId="3" fillId="0" borderId="15" xfId="0" applyFont="1" applyBorder="1" applyAlignment="1">
      <alignment horizontal="center"/>
    </xf>
    <xf numFmtId="0" fontId="3" fillId="0" borderId="18" xfId="0" applyFont="1" applyBorder="1" applyAlignment="1">
      <alignment horizontal="center"/>
    </xf>
    <xf numFmtId="0" fontId="1" fillId="0" borderId="16" xfId="0" applyFont="1" applyBorder="1" applyAlignment="1">
      <alignment horizontal="center" wrapText="1"/>
    </xf>
    <xf numFmtId="177" fontId="3" fillId="35" borderId="16" xfId="0" applyNumberFormat="1" applyFont="1" applyFill="1" applyBorder="1" applyAlignment="1">
      <alignment horizontal="center"/>
    </xf>
    <xf numFmtId="165" fontId="3" fillId="35" borderId="11" xfId="0" applyNumberFormat="1" applyFont="1" applyFill="1" applyBorder="1" applyAlignment="1">
      <alignment horizontal="center"/>
    </xf>
    <xf numFmtId="175" fontId="3" fillId="36" borderId="17" xfId="0" applyNumberFormat="1" applyFont="1" applyFill="1" applyBorder="1" applyAlignment="1">
      <alignment horizontal="center"/>
    </xf>
    <xf numFmtId="0" fontId="1" fillId="0" borderId="0" xfId="0" applyFont="1" applyBorder="1" applyAlignment="1">
      <alignment horizontal="center" vertical="top" wrapText="1"/>
    </xf>
    <xf numFmtId="165" fontId="3" fillId="36" borderId="0" xfId="0" applyNumberFormat="1" applyFont="1" applyFill="1" applyBorder="1" applyAlignment="1">
      <alignment horizontal="center"/>
    </xf>
    <xf numFmtId="0" fontId="3" fillId="0" borderId="20" xfId="0" applyFont="1" applyBorder="1" applyAlignment="1">
      <alignment/>
    </xf>
    <xf numFmtId="0" fontId="3" fillId="0" borderId="21" xfId="0" applyFont="1" applyBorder="1" applyAlignment="1">
      <alignment/>
    </xf>
    <xf numFmtId="0" fontId="1" fillId="0" borderId="22" xfId="0" applyFont="1" applyBorder="1" applyAlignment="1">
      <alignment horizontal="center" vertical="top" wrapText="1"/>
    </xf>
    <xf numFmtId="0" fontId="0" fillId="0" borderId="23" xfId="0" applyBorder="1" applyAlignment="1">
      <alignment/>
    </xf>
    <xf numFmtId="0" fontId="1" fillId="34" borderId="12" xfId="0" applyFont="1" applyFill="1" applyBorder="1" applyAlignment="1">
      <alignment horizontal="left" vertical="top" wrapText="1"/>
    </xf>
    <xf numFmtId="0" fontId="10" fillId="0" borderId="18" xfId="0" applyFont="1" applyFill="1" applyBorder="1" applyAlignment="1">
      <alignment/>
    </xf>
    <xf numFmtId="0" fontId="1" fillId="0" borderId="23" xfId="0" applyFont="1" applyBorder="1" applyAlignment="1">
      <alignment horizontal="left" vertical="top" wrapText="1"/>
    </xf>
    <xf numFmtId="169" fontId="3" fillId="35" borderId="16" xfId="0" applyNumberFormat="1" applyFont="1" applyFill="1" applyBorder="1" applyAlignment="1">
      <alignment horizontal="center"/>
    </xf>
    <xf numFmtId="169" fontId="3" fillId="35" borderId="19" xfId="0" applyNumberFormat="1" applyFont="1" applyFill="1" applyBorder="1" applyAlignment="1">
      <alignment horizontal="center"/>
    </xf>
    <xf numFmtId="0" fontId="0" fillId="0" borderId="24" xfId="0" applyBorder="1" applyAlignment="1">
      <alignment/>
    </xf>
    <xf numFmtId="178" fontId="3" fillId="35" borderId="24" xfId="0" applyNumberFormat="1" applyFont="1" applyFill="1" applyBorder="1" applyAlignment="1">
      <alignment horizontal="center"/>
    </xf>
    <xf numFmtId="169" fontId="3" fillId="36" borderId="24" xfId="0" applyNumberFormat="1" applyFont="1" applyFill="1" applyBorder="1" applyAlignment="1">
      <alignment horizontal="center"/>
    </xf>
    <xf numFmtId="178" fontId="3" fillId="36" borderId="25" xfId="0" applyNumberFormat="1" applyFont="1" applyFill="1" applyBorder="1" applyAlignment="1">
      <alignment horizontal="center"/>
    </xf>
    <xf numFmtId="0" fontId="2" fillId="0" borderId="15" xfId="0" applyFont="1" applyFill="1" applyBorder="1" applyAlignment="1">
      <alignment horizontal="center"/>
    </xf>
    <xf numFmtId="0" fontId="2" fillId="0" borderId="0" xfId="0" applyFont="1" applyFill="1" applyBorder="1" applyAlignment="1">
      <alignment horizontal="center"/>
    </xf>
    <xf numFmtId="164" fontId="3" fillId="34" borderId="16" xfId="0" applyNumberFormat="1" applyFont="1" applyFill="1" applyBorder="1" applyAlignment="1">
      <alignment/>
    </xf>
    <xf numFmtId="164" fontId="3" fillId="0" borderId="11" xfId="0" applyNumberFormat="1" applyFont="1" applyFill="1" applyBorder="1" applyAlignment="1">
      <alignment/>
    </xf>
    <xf numFmtId="164" fontId="3" fillId="34" borderId="11" xfId="0" applyNumberFormat="1" applyFont="1" applyFill="1" applyBorder="1" applyAlignment="1">
      <alignment/>
    </xf>
    <xf numFmtId="0" fontId="1" fillId="0" borderId="0" xfId="0" applyFont="1" applyFill="1" applyBorder="1" applyAlignment="1">
      <alignment horizontal="center" vertical="top" wrapText="1"/>
    </xf>
    <xf numFmtId="169" fontId="3" fillId="35" borderId="22" xfId="0" applyNumberFormat="1" applyFont="1" applyFill="1" applyBorder="1" applyAlignment="1">
      <alignment horizontal="center"/>
    </xf>
    <xf numFmtId="0" fontId="3" fillId="0" borderId="0" xfId="0" applyFont="1" applyFill="1" applyBorder="1" applyAlignment="1">
      <alignment horizontal="center"/>
    </xf>
    <xf numFmtId="170" fontId="3" fillId="35" borderId="0" xfId="0" applyNumberFormat="1" applyFont="1" applyFill="1" applyBorder="1" applyAlignment="1">
      <alignment horizontal="center"/>
    </xf>
    <xf numFmtId="0" fontId="0" fillId="0" borderId="22" xfId="0" applyBorder="1" applyAlignment="1">
      <alignment/>
    </xf>
    <xf numFmtId="170" fontId="3" fillId="35" borderId="11" xfId="0" applyNumberFormat="1" applyFont="1" applyFill="1" applyBorder="1" applyAlignment="1">
      <alignment horizontal="center"/>
    </xf>
    <xf numFmtId="0" fontId="0" fillId="0" borderId="20" xfId="0" applyBorder="1" applyAlignment="1">
      <alignment/>
    </xf>
    <xf numFmtId="0" fontId="1" fillId="0" borderId="26" xfId="0" applyFont="1" applyBorder="1" applyAlignment="1">
      <alignment horizontal="left" vertical="top" wrapText="1"/>
    </xf>
    <xf numFmtId="0" fontId="0" fillId="0" borderId="26" xfId="0" applyBorder="1" applyAlignment="1">
      <alignment horizontal="center"/>
    </xf>
    <xf numFmtId="0" fontId="0" fillId="0" borderId="26" xfId="0" applyBorder="1" applyAlignment="1">
      <alignment/>
    </xf>
    <xf numFmtId="0" fontId="0" fillId="0" borderId="26" xfId="0" applyBorder="1" applyAlignment="1">
      <alignment horizontal="left"/>
    </xf>
    <xf numFmtId="0" fontId="0" fillId="0" borderId="21" xfId="0" applyBorder="1" applyAlignment="1">
      <alignment/>
    </xf>
    <xf numFmtId="0" fontId="3" fillId="0" borderId="26" xfId="0" applyFont="1" applyBorder="1" applyAlignment="1">
      <alignment/>
    </xf>
    <xf numFmtId="170" fontId="3" fillId="35" borderId="16" xfId="0" applyNumberFormat="1" applyFont="1" applyFill="1" applyBorder="1" applyAlignment="1">
      <alignment horizontal="center"/>
    </xf>
    <xf numFmtId="0" fontId="1" fillId="0" borderId="20" xfId="0" applyFont="1" applyBorder="1" applyAlignment="1">
      <alignment/>
    </xf>
    <xf numFmtId="164" fontId="3" fillId="0" borderId="15" xfId="0" applyNumberFormat="1" applyFont="1" applyFill="1" applyBorder="1" applyAlignment="1">
      <alignment horizontal="center"/>
    </xf>
    <xf numFmtId="164" fontId="3" fillId="0" borderId="15" xfId="0" applyNumberFormat="1" applyFont="1" applyFill="1" applyBorder="1" applyAlignment="1">
      <alignment/>
    </xf>
    <xf numFmtId="0" fontId="1" fillId="0" borderId="18" xfId="0" applyFont="1" applyBorder="1" applyAlignment="1">
      <alignment horizontal="left" vertical="top" wrapText="1"/>
    </xf>
    <xf numFmtId="0" fontId="1" fillId="0" borderId="17" xfId="0" applyFont="1" applyBorder="1" applyAlignment="1">
      <alignment horizontal="left" vertical="top" wrapText="1"/>
    </xf>
    <xf numFmtId="0" fontId="6" fillId="0" borderId="0" xfId="0" applyFont="1" applyAlignment="1">
      <alignment/>
    </xf>
    <xf numFmtId="165" fontId="3" fillId="35" borderId="19" xfId="0" applyNumberFormat="1" applyFont="1" applyFill="1" applyBorder="1" applyAlignment="1">
      <alignment/>
    </xf>
    <xf numFmtId="0" fontId="0" fillId="0" borderId="24" xfId="0" applyFill="1" applyBorder="1" applyAlignment="1">
      <alignment/>
    </xf>
    <xf numFmtId="166" fontId="3" fillId="36" borderId="24" xfId="0" applyNumberFormat="1" applyFont="1" applyFill="1" applyBorder="1" applyAlignment="1">
      <alignment horizontal="center"/>
    </xf>
    <xf numFmtId="0" fontId="1" fillId="0" borderId="19" xfId="0" applyFont="1" applyBorder="1" applyAlignment="1">
      <alignment horizontal="center" vertical="top" wrapText="1"/>
    </xf>
    <xf numFmtId="169" fontId="3" fillId="35" borderId="24" xfId="0" applyNumberFormat="1" applyFont="1" applyFill="1" applyBorder="1" applyAlignment="1">
      <alignment horizontal="center"/>
    </xf>
    <xf numFmtId="165" fontId="3" fillId="36" borderId="24" xfId="0" applyNumberFormat="1" applyFont="1" applyFill="1" applyBorder="1" applyAlignment="1">
      <alignment horizontal="center"/>
    </xf>
    <xf numFmtId="0" fontId="4" fillId="0" borderId="19" xfId="0" applyFont="1" applyBorder="1" applyAlignment="1">
      <alignment horizontal="left"/>
    </xf>
    <xf numFmtId="164" fontId="3" fillId="0" borderId="24" xfId="0" applyNumberFormat="1" applyFont="1" applyFill="1" applyBorder="1" applyAlignment="1">
      <alignment horizontal="center"/>
    </xf>
    <xf numFmtId="164" fontId="3" fillId="0" borderId="24" xfId="0" applyNumberFormat="1" applyFont="1" applyFill="1" applyBorder="1" applyAlignment="1">
      <alignment/>
    </xf>
    <xf numFmtId="0" fontId="1" fillId="0" borderId="25" xfId="0" applyFont="1" applyBorder="1" applyAlignment="1">
      <alignment horizontal="left" vertical="top" wrapText="1"/>
    </xf>
    <xf numFmtId="170" fontId="3" fillId="35" borderId="19" xfId="0" applyNumberFormat="1" applyFont="1" applyFill="1" applyBorder="1" applyAlignment="1">
      <alignment horizontal="center"/>
    </xf>
    <xf numFmtId="2" fontId="0" fillId="0" borderId="0" xfId="0" applyNumberFormat="1" applyAlignment="1">
      <alignment/>
    </xf>
    <xf numFmtId="0" fontId="0" fillId="0" borderId="0" xfId="0" applyBorder="1" applyAlignment="1">
      <alignment horizontal="center"/>
    </xf>
    <xf numFmtId="165" fontId="3" fillId="36" borderId="11" xfId="0" applyNumberFormat="1" applyFont="1" applyFill="1" applyBorder="1" applyAlignment="1">
      <alignment horizontal="center"/>
    </xf>
    <xf numFmtId="171" fontId="3" fillId="36" borderId="17" xfId="0" applyNumberFormat="1" applyFont="1" applyFill="1" applyBorder="1" applyAlignment="1">
      <alignment horizontal="center"/>
    </xf>
    <xf numFmtId="0" fontId="1" fillId="34" borderId="0" xfId="0" applyFont="1" applyFill="1" applyAlignment="1">
      <alignment/>
    </xf>
    <xf numFmtId="0" fontId="1" fillId="34" borderId="0" xfId="0" applyFont="1" applyFill="1" applyAlignment="1">
      <alignment/>
    </xf>
    <xf numFmtId="0" fontId="0" fillId="34" borderId="0" xfId="0" applyFont="1" applyFill="1" applyAlignment="1">
      <alignment horizontal="right"/>
    </xf>
    <xf numFmtId="0" fontId="11" fillId="36" borderId="0" xfId="0" applyFont="1" applyFill="1" applyAlignment="1">
      <alignment/>
    </xf>
    <xf numFmtId="0" fontId="11" fillId="35" borderId="0" xfId="0" applyFont="1" applyFill="1" applyAlignment="1">
      <alignment/>
    </xf>
    <xf numFmtId="0" fontId="3" fillId="0" borderId="0" xfId="0" applyFont="1" applyFill="1" applyAlignment="1">
      <alignment horizontal="left"/>
    </xf>
    <xf numFmtId="0" fontId="0" fillId="0" borderId="0" xfId="0" applyFont="1" applyFill="1" applyAlignment="1">
      <alignment/>
    </xf>
    <xf numFmtId="0" fontId="6" fillId="0" borderId="0" xfId="0" applyFont="1" applyFill="1" applyAlignment="1" quotePrefix="1">
      <alignment/>
    </xf>
    <xf numFmtId="0" fontId="0" fillId="0" borderId="25" xfId="0" applyBorder="1" applyAlignment="1">
      <alignment/>
    </xf>
    <xf numFmtId="0" fontId="6" fillId="0" borderId="13" xfId="0" applyFont="1" applyBorder="1" applyAlignment="1">
      <alignment/>
    </xf>
    <xf numFmtId="0" fontId="3" fillId="0" borderId="18" xfId="0" applyFont="1" applyFill="1" applyBorder="1" applyAlignment="1">
      <alignment horizontal="center"/>
    </xf>
    <xf numFmtId="0" fontId="1" fillId="0" borderId="23" xfId="0" applyFont="1" applyBorder="1" applyAlignment="1">
      <alignment horizontal="center" vertical="top" wrapText="1"/>
    </xf>
    <xf numFmtId="165" fontId="3" fillId="35" borderId="25" xfId="0" applyNumberFormat="1" applyFont="1" applyFill="1" applyBorder="1" applyAlignment="1">
      <alignment/>
    </xf>
    <xf numFmtId="0" fontId="3" fillId="0" borderId="14" xfId="0" applyFont="1" applyFill="1" applyBorder="1" applyAlignment="1">
      <alignment/>
    </xf>
    <xf numFmtId="0" fontId="3" fillId="0" borderId="18" xfId="0" applyFont="1" applyFill="1" applyBorder="1" applyAlignment="1">
      <alignment/>
    </xf>
    <xf numFmtId="0" fontId="0" fillId="0" borderId="19" xfId="0" applyBorder="1" applyAlignment="1">
      <alignment/>
    </xf>
    <xf numFmtId="0" fontId="4" fillId="0" borderId="18" xfId="0" applyFont="1" applyBorder="1" applyAlignment="1">
      <alignment horizontal="center"/>
    </xf>
    <xf numFmtId="164" fontId="3" fillId="34" borderId="17" xfId="0" applyNumberFormat="1" applyFont="1" applyFill="1" applyBorder="1" applyAlignment="1">
      <alignment/>
    </xf>
    <xf numFmtId="0" fontId="0" fillId="0" borderId="14" xfId="0" applyFill="1" applyBorder="1" applyAlignment="1">
      <alignment/>
    </xf>
    <xf numFmtId="0" fontId="0" fillId="0" borderId="22" xfId="0" applyFill="1" applyBorder="1" applyAlignment="1">
      <alignment/>
    </xf>
    <xf numFmtId="164" fontId="3" fillId="0" borderId="16" xfId="0" applyNumberFormat="1" applyFont="1" applyFill="1" applyBorder="1" applyAlignment="1">
      <alignment/>
    </xf>
    <xf numFmtId="168" fontId="3" fillId="34" borderId="17" xfId="0" applyNumberFormat="1" applyFont="1" applyFill="1" applyBorder="1" applyAlignment="1">
      <alignment/>
    </xf>
    <xf numFmtId="166" fontId="3" fillId="36" borderId="17" xfId="0" applyNumberFormat="1" applyFont="1" applyFill="1" applyBorder="1" applyAlignment="1">
      <alignment horizontal="center"/>
    </xf>
    <xf numFmtId="166" fontId="3" fillId="36" borderId="23" xfId="0" applyNumberFormat="1" applyFont="1" applyFill="1" applyBorder="1" applyAlignment="1">
      <alignment horizontal="center"/>
    </xf>
    <xf numFmtId="0" fontId="4" fillId="0" borderId="17" xfId="0" applyFont="1" applyFill="1" applyBorder="1" applyAlignment="1">
      <alignment horizontal="center"/>
    </xf>
    <xf numFmtId="174" fontId="3" fillId="34" borderId="17" xfId="0" applyNumberFormat="1" applyFont="1" applyFill="1" applyBorder="1" applyAlignment="1">
      <alignment horizontal="center"/>
    </xf>
    <xf numFmtId="175" fontId="3" fillId="35" borderId="17" xfId="0" applyNumberFormat="1" applyFont="1" applyFill="1" applyBorder="1" applyAlignment="1">
      <alignment horizontal="center"/>
    </xf>
    <xf numFmtId="0" fontId="0" fillId="0" borderId="17" xfId="0" applyBorder="1" applyAlignment="1">
      <alignment horizontal="center" wrapText="1"/>
    </xf>
    <xf numFmtId="0" fontId="4" fillId="0" borderId="27" xfId="0" applyFont="1" applyBorder="1" applyAlignment="1">
      <alignment horizontal="center"/>
    </xf>
    <xf numFmtId="172" fontId="4" fillId="0" borderId="28" xfId="0" applyNumberFormat="1" applyFont="1" applyBorder="1" applyAlignment="1">
      <alignment horizontal="center"/>
    </xf>
    <xf numFmtId="0" fontId="4" fillId="0" borderId="29" xfId="0" applyFont="1" applyBorder="1" applyAlignment="1">
      <alignment horizontal="center"/>
    </xf>
    <xf numFmtId="21" fontId="0" fillId="35" borderId="30" xfId="0" applyNumberFormat="1" applyFill="1" applyBorder="1" applyAlignment="1">
      <alignment horizontal="center"/>
    </xf>
    <xf numFmtId="3" fontId="0" fillId="35" borderId="0" xfId="0" applyNumberFormat="1" applyFill="1" applyBorder="1" applyAlignment="1">
      <alignment horizontal="center"/>
    </xf>
    <xf numFmtId="3" fontId="0" fillId="35" borderId="31" xfId="0" applyNumberFormat="1" applyFill="1" applyBorder="1" applyAlignment="1">
      <alignment horizontal="center"/>
    </xf>
    <xf numFmtId="21" fontId="0" fillId="35" borderId="32" xfId="0" applyNumberFormat="1" applyFill="1" applyBorder="1" applyAlignment="1">
      <alignment horizontal="center"/>
    </xf>
    <xf numFmtId="21" fontId="0" fillId="36" borderId="30" xfId="0" applyNumberFormat="1" applyFill="1" applyBorder="1" applyAlignment="1">
      <alignment horizontal="center"/>
    </xf>
    <xf numFmtId="3" fontId="0" fillId="36" borderId="0" xfId="0" applyNumberFormat="1" applyFill="1" applyBorder="1" applyAlignment="1">
      <alignment horizontal="center"/>
    </xf>
    <xf numFmtId="3" fontId="0" fillId="36" borderId="31" xfId="0" applyNumberFormat="1" applyFill="1" applyBorder="1" applyAlignment="1">
      <alignment horizontal="center"/>
    </xf>
    <xf numFmtId="3" fontId="0" fillId="36" borderId="33" xfId="0" applyNumberFormat="1" applyFill="1" applyBorder="1" applyAlignment="1">
      <alignment horizontal="center"/>
    </xf>
    <xf numFmtId="3" fontId="0" fillId="36" borderId="34" xfId="0" applyNumberFormat="1" applyFill="1" applyBorder="1" applyAlignment="1">
      <alignment horizontal="center"/>
    </xf>
    <xf numFmtId="0" fontId="0" fillId="36" borderId="0" xfId="0" applyFill="1" applyAlignment="1">
      <alignment/>
    </xf>
    <xf numFmtId="0" fontId="0" fillId="35" borderId="0" xfId="0" applyFill="1" applyAlignment="1">
      <alignment/>
    </xf>
    <xf numFmtId="3" fontId="0" fillId="35" borderId="30" xfId="0" applyNumberFormat="1" applyFill="1" applyBorder="1" applyAlignment="1">
      <alignment horizontal="center"/>
    </xf>
    <xf numFmtId="21" fontId="0" fillId="35" borderId="35" xfId="0" applyNumberFormat="1" applyFill="1" applyBorder="1" applyAlignment="1">
      <alignment horizontal="center"/>
    </xf>
    <xf numFmtId="3" fontId="0" fillId="35" borderId="32" xfId="0" applyNumberFormat="1" applyFill="1" applyBorder="1" applyAlignment="1">
      <alignment horizontal="center"/>
    </xf>
    <xf numFmtId="21" fontId="0" fillId="36" borderId="0" xfId="0" applyNumberFormat="1" applyFill="1" applyBorder="1" applyAlignment="1">
      <alignment horizontal="center"/>
    </xf>
    <xf numFmtId="21" fontId="0" fillId="36" borderId="33" xfId="0" applyNumberFormat="1" applyFill="1" applyBorder="1" applyAlignment="1">
      <alignment horizontal="center"/>
    </xf>
    <xf numFmtId="0" fontId="9" fillId="0" borderId="0" xfId="0" applyFont="1" applyFill="1" applyAlignment="1">
      <alignment/>
    </xf>
    <xf numFmtId="0" fontId="0" fillId="0" borderId="0" xfId="0" applyFill="1" applyBorder="1" applyAlignment="1" applyProtection="1">
      <alignment/>
      <protection locked="0"/>
    </xf>
    <xf numFmtId="0" fontId="0" fillId="0" borderId="0" xfId="0" applyFill="1" applyBorder="1" applyAlignment="1" applyProtection="1">
      <alignment/>
      <protection/>
    </xf>
    <xf numFmtId="2" fontId="0" fillId="0" borderId="0" xfId="0" applyNumberFormat="1" applyFill="1" applyBorder="1" applyAlignment="1" applyProtection="1">
      <alignment/>
      <protection/>
    </xf>
    <xf numFmtId="0" fontId="13" fillId="0" borderId="0" xfId="0" applyFont="1" applyFill="1" applyBorder="1" applyAlignment="1">
      <alignment/>
    </xf>
    <xf numFmtId="0" fontId="13" fillId="0" borderId="0" xfId="0" applyFont="1" applyFill="1" applyBorder="1" applyAlignment="1" applyProtection="1">
      <alignment/>
      <protection/>
    </xf>
    <xf numFmtId="0" fontId="13" fillId="0" borderId="0" xfId="0" applyFont="1" applyFill="1" applyBorder="1" applyAlignment="1">
      <alignment horizontal="center"/>
    </xf>
    <xf numFmtId="0" fontId="0" fillId="0" borderId="0" xfId="0" applyFill="1" applyBorder="1" applyAlignment="1">
      <alignment horizontal="center"/>
    </xf>
    <xf numFmtId="0" fontId="3" fillId="34" borderId="0" xfId="0" applyFont="1" applyFill="1" applyBorder="1" applyAlignment="1">
      <alignment/>
    </xf>
    <xf numFmtId="0" fontId="12" fillId="34" borderId="0" xfId="0" applyFont="1" applyFill="1" applyBorder="1" applyAlignment="1">
      <alignment/>
    </xf>
    <xf numFmtId="0" fontId="0" fillId="34" borderId="0" xfId="0" applyFill="1" applyBorder="1" applyAlignment="1">
      <alignment/>
    </xf>
    <xf numFmtId="0" fontId="0" fillId="0" borderId="0" xfId="0" applyFont="1" applyAlignment="1">
      <alignment/>
    </xf>
    <xf numFmtId="0" fontId="6" fillId="34" borderId="0" xfId="0" applyFont="1" applyFill="1" applyAlignment="1">
      <alignment/>
    </xf>
    <xf numFmtId="0" fontId="3" fillId="0" borderId="0" xfId="0" applyFont="1" applyFill="1" applyAlignment="1">
      <alignment horizontal="centerContinuous"/>
    </xf>
    <xf numFmtId="0" fontId="0" fillId="0" borderId="0" xfId="0" applyFill="1" applyAlignment="1">
      <alignment horizontal="centerContinuous"/>
    </xf>
    <xf numFmtId="0" fontId="6" fillId="0" borderId="0" xfId="0" applyFont="1" applyFill="1" applyAlignment="1">
      <alignment horizontal="centerContinuous"/>
    </xf>
    <xf numFmtId="0" fontId="7" fillId="0" borderId="0" xfId="0" applyFont="1" applyAlignment="1">
      <alignment horizontal="centerContinuous"/>
    </xf>
    <xf numFmtId="0" fontId="0" fillId="0" borderId="0" xfId="0" applyAlignment="1">
      <alignment horizontal="centerContinuous"/>
    </xf>
    <xf numFmtId="0" fontId="3" fillId="34" borderId="0" xfId="0" applyFont="1" applyFill="1" applyAlignment="1">
      <alignment horizontal="centerContinuous"/>
    </xf>
    <xf numFmtId="0" fontId="0" fillId="34" borderId="0" xfId="0" applyFill="1" applyAlignment="1">
      <alignment horizontal="centerContinuous"/>
    </xf>
    <xf numFmtId="0" fontId="8" fillId="33" borderId="0" xfId="0" applyFont="1" applyFill="1" applyAlignment="1">
      <alignment horizontal="centerContinuous"/>
    </xf>
    <xf numFmtId="0" fontId="9" fillId="33" borderId="0" xfId="0" applyFont="1" applyFill="1" applyAlignment="1">
      <alignment horizontal="centerContinuous"/>
    </xf>
    <xf numFmtId="0" fontId="0" fillId="36" borderId="0" xfId="0" applyFill="1" applyAlignment="1">
      <alignment vertical="center"/>
    </xf>
    <xf numFmtId="0" fontId="4" fillId="36" borderId="0" xfId="0" applyFont="1" applyFill="1" applyAlignment="1">
      <alignment horizontal="centerContinuous" vertical="center"/>
    </xf>
    <xf numFmtId="0" fontId="11" fillId="36" borderId="0" xfId="0" applyFont="1" applyFill="1" applyAlignment="1">
      <alignment horizontal="right"/>
    </xf>
    <xf numFmtId="0" fontId="0" fillId="33" borderId="0" xfId="0" applyFill="1" applyAlignment="1">
      <alignment/>
    </xf>
    <xf numFmtId="172" fontId="0" fillId="35" borderId="0" xfId="0" applyNumberFormat="1" applyFill="1" applyAlignment="1">
      <alignment/>
    </xf>
    <xf numFmtId="0" fontId="0" fillId="33" borderId="0" xfId="0" applyFill="1" applyAlignment="1">
      <alignment horizontal="centerContinuous"/>
    </xf>
    <xf numFmtId="0" fontId="0" fillId="33" borderId="36" xfId="0" applyFill="1" applyBorder="1" applyAlignment="1">
      <alignment/>
    </xf>
    <xf numFmtId="0" fontId="9" fillId="33" borderId="36" xfId="0" applyFont="1" applyFill="1" applyBorder="1" applyAlignment="1">
      <alignment horizontal="centerContinuous"/>
    </xf>
    <xf numFmtId="0" fontId="16" fillId="35" borderId="0" xfId="48" applyFont="1" applyFill="1" applyAlignment="1" applyProtection="1">
      <alignment horizontal="center"/>
      <protection/>
    </xf>
    <xf numFmtId="0" fontId="3" fillId="35" borderId="0" xfId="0" applyFont="1" applyFill="1" applyAlignment="1">
      <alignment horizontal="right"/>
    </xf>
    <xf numFmtId="0" fontId="0" fillId="0" borderId="0" xfId="0" applyNumberFormat="1" applyFont="1" applyAlignment="1">
      <alignment/>
    </xf>
    <xf numFmtId="0" fontId="0" fillId="0" borderId="0" xfId="0" applyFont="1" applyAlignment="1">
      <alignment/>
    </xf>
    <xf numFmtId="0" fontId="0" fillId="0" borderId="13" xfId="0" applyBorder="1" applyAlignment="1">
      <alignment horizontal="center" vertical="top" wrapText="1"/>
    </xf>
    <xf numFmtId="180" fontId="0" fillId="0" borderId="21" xfId="0" applyNumberFormat="1" applyBorder="1" applyAlignment="1">
      <alignment/>
    </xf>
    <xf numFmtId="181" fontId="0" fillId="0" borderId="21" xfId="0" applyNumberFormat="1" applyBorder="1" applyAlignment="1">
      <alignment/>
    </xf>
    <xf numFmtId="0" fontId="0" fillId="0" borderId="22" xfId="0" applyFont="1" applyBorder="1" applyAlignment="1">
      <alignment/>
    </xf>
    <xf numFmtId="179" fontId="0" fillId="0" borderId="0" xfId="0" applyNumberFormat="1" applyBorder="1" applyAlignment="1">
      <alignment/>
    </xf>
    <xf numFmtId="0" fontId="0" fillId="0" borderId="22" xfId="0" applyFont="1" applyBorder="1" applyAlignment="1">
      <alignment vertical="center"/>
    </xf>
    <xf numFmtId="180" fontId="0" fillId="0" borderId="0" xfId="0" applyNumberFormat="1" applyBorder="1" applyAlignment="1">
      <alignment horizontal="center" vertical="center"/>
    </xf>
    <xf numFmtId="0" fontId="18" fillId="0" borderId="0" xfId="0" applyFont="1" applyBorder="1" applyAlignment="1">
      <alignment horizontal="center" vertical="center" wrapText="1"/>
    </xf>
    <xf numFmtId="0" fontId="0" fillId="0" borderId="16" xfId="0" applyFont="1" applyBorder="1" applyAlignment="1">
      <alignment/>
    </xf>
    <xf numFmtId="182" fontId="0" fillId="35" borderId="0" xfId="0" applyNumberFormat="1" applyFill="1" applyBorder="1" applyAlignment="1">
      <alignment horizontal="center" vertical="center"/>
    </xf>
    <xf numFmtId="181" fontId="0" fillId="35" borderId="0" xfId="0" applyNumberFormat="1" applyFill="1" applyBorder="1" applyAlignment="1">
      <alignment vertical="center"/>
    </xf>
    <xf numFmtId="182" fontId="0" fillId="37" borderId="11" xfId="0" applyNumberFormat="1" applyFill="1" applyBorder="1" applyAlignment="1">
      <alignment horizontal="center" vertical="center"/>
    </xf>
    <xf numFmtId="167" fontId="0" fillId="37" borderId="11" xfId="0" applyNumberFormat="1" applyFill="1" applyBorder="1" applyAlignment="1">
      <alignment horizontal="center" vertical="center"/>
    </xf>
    <xf numFmtId="183" fontId="0" fillId="37" borderId="23" xfId="0" applyNumberFormat="1" applyFill="1" applyBorder="1" applyAlignment="1">
      <alignment vertical="center"/>
    </xf>
    <xf numFmtId="184" fontId="0" fillId="37" borderId="17" xfId="0" applyNumberFormat="1" applyFill="1" applyBorder="1" applyAlignment="1">
      <alignment/>
    </xf>
    <xf numFmtId="0" fontId="0" fillId="0" borderId="0" xfId="0" applyAlignment="1">
      <alignment horizontal="center"/>
    </xf>
    <xf numFmtId="0" fontId="19" fillId="33" borderId="14" xfId="0" applyFont="1" applyFill="1" applyBorder="1" applyAlignment="1">
      <alignment horizontal="centerContinuous"/>
    </xf>
    <xf numFmtId="0" fontId="19" fillId="33" borderId="15" xfId="0" applyFont="1" applyFill="1" applyBorder="1" applyAlignment="1">
      <alignment horizontal="centerContinuous"/>
    </xf>
    <xf numFmtId="0" fontId="19" fillId="33" borderId="18" xfId="0" applyFont="1" applyFill="1" applyBorder="1" applyAlignment="1">
      <alignment horizontal="centerContinuous"/>
    </xf>
    <xf numFmtId="0" fontId="19" fillId="33" borderId="14" xfId="0" applyFont="1" applyFill="1" applyBorder="1" applyAlignment="1">
      <alignment horizontal="centerContinuous" wrapText="1"/>
    </xf>
    <xf numFmtId="185" fontId="0" fillId="35" borderId="0" xfId="0" applyNumberFormat="1" applyFill="1" applyBorder="1" applyAlignment="1">
      <alignment horizontal="center" vertical="center"/>
    </xf>
    <xf numFmtId="181" fontId="0" fillId="36" borderId="0" xfId="0" applyNumberFormat="1" applyFill="1" applyBorder="1" applyAlignment="1">
      <alignment vertical="center"/>
    </xf>
    <xf numFmtId="180" fontId="0" fillId="0" borderId="0" xfId="0" applyNumberFormat="1" applyBorder="1" applyAlignment="1">
      <alignment/>
    </xf>
    <xf numFmtId="0" fontId="6" fillId="0" borderId="22" xfId="0" applyFont="1" applyFill="1" applyBorder="1" applyAlignment="1">
      <alignment/>
    </xf>
    <xf numFmtId="0" fontId="6" fillId="0" borderId="0" xfId="0" applyFont="1" applyBorder="1" applyAlignment="1">
      <alignment/>
    </xf>
    <xf numFmtId="0" fontId="0" fillId="0" borderId="22" xfId="0" applyFont="1" applyFill="1" applyBorder="1" applyAlignment="1">
      <alignment/>
    </xf>
    <xf numFmtId="185" fontId="0" fillId="36" borderId="23" xfId="0" applyNumberFormat="1" applyFill="1" applyBorder="1" applyAlignment="1">
      <alignment horizontal="center" vertical="center"/>
    </xf>
    <xf numFmtId="0" fontId="0" fillId="0" borderId="16" xfId="0" applyFont="1" applyBorder="1" applyAlignment="1">
      <alignment vertical="center"/>
    </xf>
    <xf numFmtId="182" fontId="0" fillId="35" borderId="11" xfId="0" applyNumberFormat="1" applyFill="1" applyBorder="1" applyAlignment="1">
      <alignment horizontal="center" vertical="center"/>
    </xf>
    <xf numFmtId="180" fontId="0" fillId="0" borderId="11" xfId="0" applyNumberFormat="1" applyBorder="1" applyAlignment="1">
      <alignment horizontal="center" vertical="center"/>
    </xf>
    <xf numFmtId="185" fontId="0" fillId="35" borderId="11" xfId="0" applyNumberFormat="1" applyFill="1" applyBorder="1" applyAlignment="1">
      <alignment horizontal="center" vertical="center"/>
    </xf>
    <xf numFmtId="181" fontId="0" fillId="36" borderId="11" xfId="0" applyNumberFormat="1" applyFill="1" applyBorder="1" applyAlignment="1">
      <alignment vertical="center"/>
    </xf>
    <xf numFmtId="185" fontId="0" fillId="36" borderId="17" xfId="0" applyNumberFormat="1" applyFill="1" applyBorder="1" applyAlignment="1">
      <alignment horizontal="center" vertical="center"/>
    </xf>
    <xf numFmtId="0" fontId="21" fillId="33" borderId="0" xfId="0" applyFont="1" applyFill="1" applyAlignment="1">
      <alignment horizontal="centerContinuous" vertical="center"/>
    </xf>
    <xf numFmtId="0" fontId="9" fillId="33" borderId="0" xfId="0" applyFont="1" applyFill="1" applyAlignment="1">
      <alignment horizontal="centerContinuous" vertical="center"/>
    </xf>
    <xf numFmtId="0" fontId="22" fillId="36" borderId="0" xfId="48" applyFont="1" applyFill="1" applyAlignment="1" applyProtection="1">
      <alignment horizontal="right"/>
      <protection/>
    </xf>
    <xf numFmtId="0" fontId="0" fillId="0" borderId="20" xfId="0" applyBorder="1" applyAlignment="1">
      <alignment horizontal="center"/>
    </xf>
    <xf numFmtId="0" fontId="0" fillId="38" borderId="21" xfId="0" applyFill="1" applyBorder="1" applyAlignment="1">
      <alignment horizontal="center"/>
    </xf>
    <xf numFmtId="177" fontId="3" fillId="35" borderId="13" xfId="0" applyNumberFormat="1" applyFont="1" applyFill="1" applyBorder="1" applyAlignment="1">
      <alignment horizontal="center"/>
    </xf>
    <xf numFmtId="176" fontId="3" fillId="35" borderId="13" xfId="0" applyNumberFormat="1" applyFont="1" applyFill="1" applyBorder="1" applyAlignment="1">
      <alignment horizontal="left"/>
    </xf>
    <xf numFmtId="165" fontId="3" fillId="35" borderId="13" xfId="0" applyNumberFormat="1" applyFont="1" applyFill="1" applyBorder="1" applyAlignment="1">
      <alignment horizontal="center"/>
    </xf>
    <xf numFmtId="175" fontId="3" fillId="35" borderId="13" xfId="0" applyNumberFormat="1" applyFont="1" applyFill="1" applyBorder="1" applyAlignment="1">
      <alignment horizontal="center"/>
    </xf>
    <xf numFmtId="176" fontId="3" fillId="36" borderId="13" xfId="0" applyNumberFormat="1" applyFont="1" applyFill="1" applyBorder="1" applyAlignment="1">
      <alignment horizontal="center"/>
    </xf>
    <xf numFmtId="177" fontId="3" fillId="36" borderId="13" xfId="0" applyNumberFormat="1" applyFont="1" applyFill="1" applyBorder="1" applyAlignment="1">
      <alignment horizontal="center"/>
    </xf>
    <xf numFmtId="165" fontId="3" fillId="35" borderId="21" xfId="0" applyNumberFormat="1" applyFont="1" applyFill="1" applyBorder="1" applyAlignment="1">
      <alignment horizontal="center"/>
    </xf>
    <xf numFmtId="175" fontId="3" fillId="35" borderId="21" xfId="0" applyNumberFormat="1" applyFont="1" applyFill="1" applyBorder="1" applyAlignment="1">
      <alignment horizontal="center"/>
    </xf>
    <xf numFmtId="176" fontId="3" fillId="36" borderId="21" xfId="0" applyNumberFormat="1" applyFont="1" applyFill="1" applyBorder="1" applyAlignment="1">
      <alignment horizontal="center"/>
    </xf>
    <xf numFmtId="168" fontId="3" fillId="35" borderId="13" xfId="0" applyNumberFormat="1" applyFont="1" applyFill="1" applyBorder="1" applyAlignment="1">
      <alignment horizontal="center"/>
    </xf>
    <xf numFmtId="177" fontId="0" fillId="0" borderId="0" xfId="0" applyNumberFormat="1" applyAlignment="1">
      <alignment/>
    </xf>
    <xf numFmtId="186" fontId="3" fillId="36" borderId="13" xfId="0" applyNumberFormat="1" applyFont="1" applyFill="1" applyBorder="1" applyAlignment="1">
      <alignment horizontal="center"/>
    </xf>
    <xf numFmtId="175" fontId="3" fillId="36" borderId="13" xfId="0" applyNumberFormat="1" applyFont="1" applyFill="1" applyBorder="1" applyAlignment="1">
      <alignment horizontal="center"/>
    </xf>
    <xf numFmtId="168" fontId="3" fillId="38" borderId="13" xfId="0" applyNumberFormat="1" applyFont="1" applyFill="1" applyBorder="1" applyAlignment="1">
      <alignment horizontal="center"/>
    </xf>
    <xf numFmtId="0" fontId="23" fillId="39" borderId="0" xfId="0" applyFont="1" applyFill="1" applyAlignment="1">
      <alignment/>
    </xf>
    <xf numFmtId="0" fontId="9" fillId="39" borderId="0" xfId="0" applyFont="1" applyFill="1" applyAlignment="1">
      <alignment/>
    </xf>
    <xf numFmtId="0" fontId="23" fillId="39" borderId="0" xfId="0" applyFont="1" applyFill="1" applyAlignment="1">
      <alignment horizontal="right"/>
    </xf>
    <xf numFmtId="187" fontId="0" fillId="35" borderId="13" xfId="0" applyNumberFormat="1" applyFill="1" applyBorder="1" applyAlignment="1">
      <alignment/>
    </xf>
    <xf numFmtId="169" fontId="0" fillId="35" borderId="13" xfId="0" applyNumberFormat="1" applyFill="1" applyBorder="1" applyAlignment="1">
      <alignment/>
    </xf>
    <xf numFmtId="189" fontId="0" fillId="35" borderId="13" xfId="0" applyNumberFormat="1" applyFill="1" applyBorder="1" applyAlignment="1">
      <alignment/>
    </xf>
    <xf numFmtId="0" fontId="0" fillId="0" borderId="33" xfId="0" applyBorder="1" applyAlignment="1">
      <alignment/>
    </xf>
    <xf numFmtId="0" fontId="3" fillId="0" borderId="33" xfId="0" applyFont="1" applyBorder="1" applyAlignment="1">
      <alignment/>
    </xf>
    <xf numFmtId="0" fontId="3" fillId="0" borderId="33" xfId="0" applyFont="1" applyBorder="1" applyAlignment="1">
      <alignment horizontal="right"/>
    </xf>
    <xf numFmtId="190" fontId="0" fillId="35" borderId="0" xfId="0" applyNumberFormat="1" applyFill="1" applyAlignment="1">
      <alignment/>
    </xf>
    <xf numFmtId="188" fontId="3" fillId="35" borderId="0" xfId="0" applyNumberFormat="1" applyFont="1" applyFill="1" applyBorder="1" applyAlignment="1">
      <alignment horizontal="right"/>
    </xf>
    <xf numFmtId="189" fontId="0" fillId="36" borderId="0" xfId="0" applyNumberFormat="1" applyFill="1" applyAlignment="1">
      <alignment/>
    </xf>
    <xf numFmtId="188" fontId="3" fillId="36" borderId="0" xfId="0" applyNumberFormat="1" applyFont="1" applyFill="1" applyBorder="1" applyAlignment="1">
      <alignment horizontal="right"/>
    </xf>
    <xf numFmtId="175" fontId="0" fillId="35" borderId="0" xfId="0" applyNumberFormat="1" applyFill="1" applyAlignment="1">
      <alignment/>
    </xf>
    <xf numFmtId="187" fontId="0" fillId="36" borderId="0" xfId="0" applyNumberFormat="1" applyFill="1" applyAlignment="1">
      <alignment/>
    </xf>
    <xf numFmtId="169" fontId="0" fillId="36" borderId="0" xfId="0" applyNumberFormat="1" applyFill="1" applyAlignment="1">
      <alignment/>
    </xf>
    <xf numFmtId="0" fontId="3" fillId="0" borderId="37" xfId="0" applyFont="1" applyBorder="1" applyAlignment="1">
      <alignment/>
    </xf>
    <xf numFmtId="175" fontId="3" fillId="36" borderId="37" xfId="0" applyNumberFormat="1" applyFont="1" applyFill="1" applyBorder="1" applyAlignment="1">
      <alignment/>
    </xf>
    <xf numFmtId="0" fontId="3" fillId="34" borderId="37" xfId="0" applyFont="1" applyFill="1" applyBorder="1" applyAlignment="1">
      <alignment/>
    </xf>
    <xf numFmtId="187" fontId="3" fillId="36" borderId="37" xfId="0" applyNumberFormat="1" applyFont="1" applyFill="1" applyBorder="1" applyAlignment="1">
      <alignment/>
    </xf>
    <xf numFmtId="169" fontId="3" fillId="36" borderId="37" xfId="0" applyNumberFormat="1" applyFont="1" applyFill="1" applyBorder="1" applyAlignment="1">
      <alignment/>
    </xf>
    <xf numFmtId="0" fontId="0" fillId="0" borderId="38" xfId="0" applyBorder="1" applyAlignment="1">
      <alignment/>
    </xf>
    <xf numFmtId="190" fontId="0" fillId="36" borderId="0" xfId="0" applyNumberFormat="1" applyFill="1" applyAlignment="1">
      <alignment/>
    </xf>
    <xf numFmtId="188" fontId="0" fillId="35" borderId="0" xfId="0" applyNumberFormat="1" applyFill="1" applyAlignment="1">
      <alignment/>
    </xf>
    <xf numFmtId="189" fontId="0" fillId="0" borderId="0" xfId="0" applyNumberFormat="1" applyAlignment="1">
      <alignment/>
    </xf>
    <xf numFmtId="187" fontId="0" fillId="0" borderId="0" xfId="0" applyNumberFormat="1" applyAlignment="1">
      <alignment/>
    </xf>
    <xf numFmtId="169" fontId="0" fillId="0" borderId="0" xfId="0" applyNumberFormat="1" applyAlignment="1">
      <alignment/>
    </xf>
    <xf numFmtId="20" fontId="0" fillId="35" borderId="0" xfId="0" applyNumberFormat="1" applyFill="1" applyAlignment="1">
      <alignment/>
    </xf>
    <xf numFmtId="187" fontId="0" fillId="34" borderId="0" xfId="0" applyNumberFormat="1" applyFill="1" applyAlignment="1">
      <alignment/>
    </xf>
    <xf numFmtId="169" fontId="0" fillId="34" borderId="0" xfId="0" applyNumberFormat="1" applyFill="1" applyAlignment="1">
      <alignment/>
    </xf>
    <xf numFmtId="175" fontId="0" fillId="35" borderId="0" xfId="0" applyNumberFormat="1" applyFill="1" applyAlignment="1">
      <alignment horizontal="right"/>
    </xf>
    <xf numFmtId="175" fontId="0" fillId="34" borderId="0" xfId="0" applyNumberFormat="1" applyFill="1" applyAlignment="1">
      <alignment/>
    </xf>
    <xf numFmtId="175" fontId="0" fillId="36" borderId="0" xfId="0" applyNumberFormat="1" applyFill="1" applyAlignment="1">
      <alignment/>
    </xf>
    <xf numFmtId="191" fontId="3" fillId="36" borderId="37" xfId="0" applyNumberFormat="1" applyFont="1" applyFill="1" applyBorder="1" applyAlignment="1">
      <alignment/>
    </xf>
    <xf numFmtId="174" fontId="0" fillId="0" borderId="0" xfId="0" applyNumberFormat="1" applyBorder="1" applyAlignment="1">
      <alignment/>
    </xf>
    <xf numFmtId="174" fontId="0" fillId="36" borderId="0" xfId="0" applyNumberFormat="1" applyFill="1" applyBorder="1" applyAlignment="1">
      <alignment/>
    </xf>
    <xf numFmtId="0" fontId="20" fillId="35" borderId="0" xfId="48" applyFont="1" applyFill="1" applyAlignment="1" applyProtection="1">
      <alignment horizontal="center"/>
      <protection/>
    </xf>
    <xf numFmtId="0" fontId="0" fillId="35" borderId="33" xfId="0" applyFill="1" applyBorder="1" applyAlignment="1">
      <alignment horizontal="left"/>
    </xf>
    <xf numFmtId="191" fontId="3" fillId="35" borderId="33" xfId="0" applyNumberFormat="1" applyFont="1" applyFill="1" applyBorder="1" applyAlignment="1">
      <alignment/>
    </xf>
    <xf numFmtId="174" fontId="3" fillId="35" borderId="33" xfId="0" applyNumberFormat="1" applyFont="1" applyFill="1" applyBorder="1" applyAlignment="1">
      <alignment/>
    </xf>
    <xf numFmtId="191" fontId="3" fillId="36" borderId="0" xfId="0" applyNumberFormat="1" applyFont="1" applyFill="1" applyBorder="1" applyAlignment="1">
      <alignment/>
    </xf>
    <xf numFmtId="191" fontId="3" fillId="36" borderId="39" xfId="0" applyNumberFormat="1" applyFont="1" applyFill="1" applyBorder="1" applyAlignment="1">
      <alignment/>
    </xf>
    <xf numFmtId="191" fontId="0" fillId="36" borderId="11" xfId="0" applyNumberFormat="1" applyFill="1" applyBorder="1" applyAlignment="1">
      <alignment/>
    </xf>
    <xf numFmtId="174" fontId="0" fillId="36" borderId="11" xfId="0" applyNumberFormat="1" applyFill="1" applyBorder="1" applyAlignment="1">
      <alignment/>
    </xf>
    <xf numFmtId="0" fontId="8" fillId="33" borderId="40" xfId="0" applyFont="1" applyFill="1" applyBorder="1" applyAlignment="1">
      <alignment horizontal="left"/>
    </xf>
    <xf numFmtId="0" fontId="8" fillId="33" borderId="35" xfId="0" applyFont="1" applyFill="1" applyBorder="1" applyAlignment="1">
      <alignment horizontal="left"/>
    </xf>
    <xf numFmtId="0" fontId="8" fillId="33" borderId="41" xfId="0" applyFont="1" applyFill="1" applyBorder="1" applyAlignment="1">
      <alignment horizontal="left"/>
    </xf>
    <xf numFmtId="0" fontId="8" fillId="33" borderId="30" xfId="0" applyFont="1" applyFill="1" applyBorder="1" applyAlignment="1">
      <alignment horizontal="left"/>
    </xf>
    <xf numFmtId="0" fontId="8" fillId="33" borderId="0" xfId="0" applyFont="1" applyFill="1" applyBorder="1" applyAlignment="1">
      <alignment horizontal="center"/>
    </xf>
    <xf numFmtId="0" fontId="8" fillId="33" borderId="0" xfId="0" applyFont="1" applyFill="1" applyBorder="1" applyAlignment="1">
      <alignment horizontal="left"/>
    </xf>
    <xf numFmtId="0" fontId="8" fillId="33" borderId="0" xfId="0" applyFont="1" applyFill="1" applyBorder="1" applyAlignment="1">
      <alignment horizontal="right"/>
    </xf>
    <xf numFmtId="0" fontId="8" fillId="33" borderId="31" xfId="0" applyFont="1" applyFill="1" applyBorder="1" applyAlignment="1">
      <alignment horizontal="right"/>
    </xf>
    <xf numFmtId="0" fontId="0" fillId="36" borderId="0" xfId="0" applyFill="1" applyBorder="1" applyAlignment="1">
      <alignment horizontal="left"/>
    </xf>
    <xf numFmtId="191" fontId="0" fillId="36" borderId="0" xfId="0" applyNumberFormat="1" applyFill="1" applyBorder="1" applyAlignment="1">
      <alignment/>
    </xf>
    <xf numFmtId="0" fontId="0" fillId="0" borderId="30" xfId="0" applyBorder="1" applyAlignment="1">
      <alignment/>
    </xf>
    <xf numFmtId="0" fontId="0" fillId="0" borderId="42" xfId="0" applyBorder="1" applyAlignment="1">
      <alignment/>
    </xf>
    <xf numFmtId="0" fontId="0" fillId="0" borderId="43" xfId="0" applyBorder="1" applyAlignment="1">
      <alignment/>
    </xf>
    <xf numFmtId="0" fontId="0" fillId="0" borderId="37" xfId="0" applyBorder="1" applyAlignment="1">
      <alignment horizontal="center"/>
    </xf>
    <xf numFmtId="0" fontId="8" fillId="33" borderId="40" xfId="0" applyFont="1" applyFill="1" applyBorder="1" applyAlignment="1">
      <alignment/>
    </xf>
    <xf numFmtId="0" fontId="8" fillId="33" borderId="35" xfId="0" applyFont="1" applyFill="1" applyBorder="1" applyAlignment="1">
      <alignment/>
    </xf>
    <xf numFmtId="0" fontId="8" fillId="33" borderId="41" xfId="0" applyFont="1" applyFill="1" applyBorder="1" applyAlignment="1">
      <alignment/>
    </xf>
    <xf numFmtId="0" fontId="0" fillId="35" borderId="0" xfId="0" applyFill="1" applyBorder="1" applyAlignment="1">
      <alignment horizontal="left"/>
    </xf>
    <xf numFmtId="191" fontId="3" fillId="35" borderId="0" xfId="0" applyNumberFormat="1" applyFont="1" applyFill="1" applyBorder="1" applyAlignment="1">
      <alignment/>
    </xf>
    <xf numFmtId="174" fontId="3" fillId="35" borderId="0" xfId="0" applyNumberFormat="1" applyFont="1" applyFill="1" applyBorder="1" applyAlignment="1">
      <alignment/>
    </xf>
    <xf numFmtId="0" fontId="0" fillId="35" borderId="30" xfId="0" applyFill="1" applyBorder="1" applyAlignment="1">
      <alignment horizontal="center"/>
    </xf>
    <xf numFmtId="0" fontId="0" fillId="35" borderId="32" xfId="0" applyFill="1" applyBorder="1" applyAlignment="1">
      <alignment horizontal="center"/>
    </xf>
    <xf numFmtId="0" fontId="0" fillId="36" borderId="30" xfId="0" applyFill="1" applyBorder="1" applyAlignment="1">
      <alignment horizontal="left"/>
    </xf>
    <xf numFmtId="0" fontId="0" fillId="0" borderId="44" xfId="0" applyBorder="1" applyAlignment="1">
      <alignment/>
    </xf>
    <xf numFmtId="0" fontId="0" fillId="0" borderId="45" xfId="0" applyBorder="1" applyAlignment="1">
      <alignment/>
    </xf>
    <xf numFmtId="191" fontId="3" fillId="36" borderId="45" xfId="0" applyNumberFormat="1" applyFont="1" applyFill="1" applyBorder="1" applyAlignment="1">
      <alignment/>
    </xf>
    <xf numFmtId="0" fontId="8" fillId="33" borderId="35" xfId="0" applyFont="1" applyFill="1" applyBorder="1" applyAlignment="1">
      <alignment horizontal="right"/>
    </xf>
    <xf numFmtId="0" fontId="8" fillId="33" borderId="41" xfId="0" applyFont="1" applyFill="1" applyBorder="1" applyAlignment="1">
      <alignment horizontal="right"/>
    </xf>
    <xf numFmtId="0" fontId="0" fillId="35" borderId="30" xfId="0" applyFill="1" applyBorder="1" applyAlignment="1">
      <alignment horizontal="left"/>
    </xf>
    <xf numFmtId="0" fontId="0" fillId="33" borderId="35" xfId="0" applyFill="1" applyBorder="1" applyAlignment="1">
      <alignment/>
    </xf>
    <xf numFmtId="0" fontId="0" fillId="36" borderId="30" xfId="0" applyFill="1" applyBorder="1" applyAlignment="1">
      <alignment horizontal="center"/>
    </xf>
    <xf numFmtId="0" fontId="0" fillId="36" borderId="0" xfId="0" applyFill="1" applyBorder="1" applyAlignment="1">
      <alignment horizontal="center"/>
    </xf>
    <xf numFmtId="0" fontId="0" fillId="36" borderId="33" xfId="0" applyFill="1" applyBorder="1" applyAlignment="1">
      <alignment horizontal="center"/>
    </xf>
    <xf numFmtId="0" fontId="8" fillId="33" borderId="0" xfId="0" applyFont="1" applyFill="1" applyBorder="1" applyAlignment="1">
      <alignment/>
    </xf>
    <xf numFmtId="0" fontId="8" fillId="33" borderId="31" xfId="0" applyFont="1" applyFill="1" applyBorder="1" applyAlignment="1">
      <alignment/>
    </xf>
    <xf numFmtId="174" fontId="24" fillId="36" borderId="37" xfId="0" applyNumberFormat="1" applyFont="1" applyFill="1" applyBorder="1" applyAlignment="1">
      <alignment/>
    </xf>
    <xf numFmtId="0" fontId="8" fillId="0" borderId="30" xfId="0" applyFont="1" applyFill="1" applyBorder="1" applyAlignment="1">
      <alignment/>
    </xf>
    <xf numFmtId="0" fontId="8" fillId="0" borderId="0" xfId="0" applyFont="1" applyFill="1" applyBorder="1" applyAlignment="1">
      <alignment/>
    </xf>
    <xf numFmtId="0" fontId="8" fillId="0" borderId="31" xfId="0" applyFont="1" applyFill="1" applyBorder="1" applyAlignment="1">
      <alignment/>
    </xf>
    <xf numFmtId="0" fontId="8" fillId="0" borderId="30" xfId="0" applyFont="1" applyFill="1" applyBorder="1" applyAlignment="1">
      <alignment horizontal="left"/>
    </xf>
    <xf numFmtId="0" fontId="8" fillId="0" borderId="0" xfId="0" applyFont="1" applyFill="1" applyBorder="1" applyAlignment="1">
      <alignment horizontal="left"/>
    </xf>
    <xf numFmtId="191" fontId="0" fillId="0" borderId="0" xfId="0" applyNumberFormat="1" applyFill="1" applyBorder="1" applyAlignment="1">
      <alignment/>
    </xf>
    <xf numFmtId="192" fontId="0" fillId="0" borderId="31" xfId="0" applyNumberFormat="1" applyFill="1" applyBorder="1" applyAlignment="1">
      <alignment/>
    </xf>
    <xf numFmtId="0" fontId="14" fillId="34" borderId="0" xfId="48" applyFill="1" applyAlignment="1" applyProtection="1">
      <alignment horizontal="right"/>
      <protection/>
    </xf>
    <xf numFmtId="0" fontId="25" fillId="35" borderId="35" xfId="0" applyFont="1" applyFill="1" applyBorder="1" applyAlignment="1">
      <alignment horizontal="right"/>
    </xf>
    <xf numFmtId="0" fontId="25" fillId="36" borderId="41" xfId="0" applyFont="1" applyFill="1" applyBorder="1" applyAlignment="1">
      <alignment horizontal="right"/>
    </xf>
    <xf numFmtId="174" fontId="24" fillId="0" borderId="45" xfId="0" applyNumberFormat="1" applyFont="1" applyBorder="1" applyAlignment="1">
      <alignment/>
    </xf>
    <xf numFmtId="191" fontId="0" fillId="34" borderId="0" xfId="0" applyNumberFormat="1" applyFill="1" applyBorder="1" applyAlignment="1">
      <alignment/>
    </xf>
    <xf numFmtId="192" fontId="0" fillId="34" borderId="0" xfId="0" applyNumberFormat="1" applyFill="1" applyBorder="1" applyAlignment="1">
      <alignment/>
    </xf>
    <xf numFmtId="0" fontId="3" fillId="0" borderId="46" xfId="0" applyFont="1" applyBorder="1" applyAlignment="1">
      <alignment/>
    </xf>
    <xf numFmtId="0" fontId="3" fillId="0" borderId="47" xfId="0" applyFont="1" applyBorder="1" applyAlignment="1">
      <alignment/>
    </xf>
    <xf numFmtId="193" fontId="3" fillId="36" borderId="47" xfId="0" applyNumberFormat="1" applyFont="1" applyFill="1" applyBorder="1" applyAlignment="1">
      <alignment/>
    </xf>
    <xf numFmtId="194" fontId="3" fillId="36" borderId="47" xfId="0" applyNumberFormat="1" applyFont="1" applyFill="1" applyBorder="1" applyAlignment="1">
      <alignment/>
    </xf>
    <xf numFmtId="174" fontId="24" fillId="36" borderId="48" xfId="0" applyNumberFormat="1" applyFont="1" applyFill="1" applyBorder="1" applyAlignment="1">
      <alignment/>
    </xf>
    <xf numFmtId="193" fontId="0" fillId="34" borderId="0" xfId="0" applyNumberFormat="1" applyFill="1" applyAlignment="1">
      <alignment/>
    </xf>
    <xf numFmtId="194" fontId="0" fillId="34" borderId="0" xfId="0" applyNumberFormat="1" applyFill="1" applyBorder="1" applyAlignment="1">
      <alignment/>
    </xf>
    <xf numFmtId="174" fontId="0" fillId="34" borderId="0" xfId="0" applyNumberFormat="1" applyFill="1" applyBorder="1" applyAlignment="1">
      <alignment/>
    </xf>
    <xf numFmtId="0" fontId="0" fillId="0" borderId="30" xfId="0" applyBorder="1" applyAlignment="1">
      <alignment horizontal="left"/>
    </xf>
    <xf numFmtId="0" fontId="0" fillId="0" borderId="0" xfId="0" applyFill="1" applyBorder="1" applyAlignment="1">
      <alignment horizontal="left"/>
    </xf>
    <xf numFmtId="0" fontId="0" fillId="0" borderId="37" xfId="0" applyFill="1" applyBorder="1" applyAlignment="1">
      <alignment/>
    </xf>
    <xf numFmtId="0" fontId="0" fillId="34" borderId="0" xfId="0" applyFill="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right"/>
    </xf>
    <xf numFmtId="0" fontId="8" fillId="0" borderId="31" xfId="0" applyFont="1" applyFill="1" applyBorder="1" applyAlignment="1">
      <alignment horizontal="right"/>
    </xf>
    <xf numFmtId="0" fontId="26" fillId="36" borderId="0" xfId="0" applyFont="1" applyFill="1" applyAlignment="1">
      <alignment horizontal="centerContinuous" vertical="center"/>
    </xf>
    <xf numFmtId="0" fontId="3" fillId="35" borderId="27" xfId="0" applyFont="1" applyFill="1" applyBorder="1" applyAlignment="1">
      <alignment/>
    </xf>
    <xf numFmtId="0" fontId="3" fillId="0" borderId="27" xfId="0" applyFont="1" applyBorder="1" applyAlignment="1">
      <alignment horizontal="left"/>
    </xf>
    <xf numFmtId="195" fontId="0" fillId="35" borderId="30" xfId="0" applyNumberFormat="1" applyFill="1" applyBorder="1" applyAlignment="1">
      <alignment horizontal="center"/>
    </xf>
    <xf numFmtId="195" fontId="3" fillId="35" borderId="32" xfId="0" applyNumberFormat="1" applyFont="1" applyFill="1" applyBorder="1" applyAlignment="1">
      <alignment horizontal="center"/>
    </xf>
    <xf numFmtId="0" fontId="3" fillId="36" borderId="29" xfId="0" applyFont="1" applyFill="1" applyBorder="1" applyAlignment="1">
      <alignment horizontal="center"/>
    </xf>
    <xf numFmtId="197" fontId="0" fillId="36" borderId="31" xfId="0" applyNumberFormat="1" applyFill="1" applyBorder="1" applyAlignment="1">
      <alignment horizontal="center"/>
    </xf>
    <xf numFmtId="197" fontId="3" fillId="36" borderId="34" xfId="0" applyNumberFormat="1" applyFont="1" applyFill="1" applyBorder="1" applyAlignment="1">
      <alignment horizontal="center"/>
    </xf>
    <xf numFmtId="0" fontId="9" fillId="33" borderId="49" xfId="0" applyFont="1" applyFill="1" applyBorder="1" applyAlignment="1">
      <alignment horizontal="center"/>
    </xf>
    <xf numFmtId="0" fontId="9" fillId="33" borderId="29" xfId="0" applyFont="1" applyFill="1" applyBorder="1" applyAlignment="1">
      <alignment horizontal="center"/>
    </xf>
    <xf numFmtId="0" fontId="8" fillId="33" borderId="29" xfId="0" applyFont="1" applyFill="1" applyBorder="1" applyAlignment="1">
      <alignment horizontal="center"/>
    </xf>
    <xf numFmtId="195" fontId="3" fillId="35" borderId="50" xfId="0" applyNumberFormat="1" applyFont="1" applyFill="1" applyBorder="1" applyAlignment="1">
      <alignment horizontal="center"/>
    </xf>
    <xf numFmtId="10" fontId="3" fillId="35" borderId="34" xfId="0" applyNumberFormat="1" applyFont="1" applyFill="1" applyBorder="1" applyAlignment="1">
      <alignment horizontal="center"/>
    </xf>
    <xf numFmtId="188" fontId="3" fillId="35" borderId="34" xfId="0" applyNumberFormat="1" applyFont="1" applyFill="1" applyBorder="1" applyAlignment="1">
      <alignment horizontal="center"/>
    </xf>
    <xf numFmtId="198" fontId="3" fillId="36" borderId="34" xfId="0" applyNumberFormat="1" applyFont="1" applyFill="1" applyBorder="1" applyAlignment="1">
      <alignment horizontal="center"/>
    </xf>
    <xf numFmtId="195" fontId="3" fillId="36" borderId="29" xfId="0" applyNumberFormat="1" applyFont="1" applyFill="1" applyBorder="1" applyAlignment="1">
      <alignment/>
    </xf>
    <xf numFmtId="0" fontId="28" fillId="0" borderId="0" xfId="0" applyFont="1" applyAlignment="1">
      <alignment horizontal="left" indent="3"/>
    </xf>
    <xf numFmtId="0" fontId="0" fillId="0" borderId="0" xfId="0" applyFont="1" applyAlignment="1">
      <alignment horizontal="left" indent="6"/>
    </xf>
    <xf numFmtId="0" fontId="0" fillId="0" borderId="0" xfId="0" applyAlignment="1">
      <alignment horizontal="left"/>
    </xf>
    <xf numFmtId="0" fontId="18" fillId="0" borderId="14" xfId="0" applyFont="1" applyBorder="1" applyAlignment="1">
      <alignment horizontal="centerContinuous"/>
    </xf>
    <xf numFmtId="0" fontId="0" fillId="0" borderId="18" xfId="0" applyBorder="1" applyAlignment="1">
      <alignment horizontal="centerContinuous"/>
    </xf>
    <xf numFmtId="0" fontId="0" fillId="0" borderId="22" xfId="0" applyBorder="1" applyAlignment="1">
      <alignment horizontal="right"/>
    </xf>
    <xf numFmtId="0" fontId="0" fillId="0" borderId="23" xfId="0" applyBorder="1" applyAlignment="1">
      <alignment horizontal="right"/>
    </xf>
    <xf numFmtId="0" fontId="30" fillId="0" borderId="16" xfId="0" applyFont="1" applyBorder="1" applyAlignment="1">
      <alignment horizontal="right"/>
    </xf>
    <xf numFmtId="0" fontId="30" fillId="0" borderId="17" xfId="0" applyFont="1" applyBorder="1" applyAlignment="1">
      <alignment horizontal="right"/>
    </xf>
    <xf numFmtId="0" fontId="0" fillId="0" borderId="26" xfId="0" applyBorder="1" applyAlignment="1">
      <alignment horizontal="right"/>
    </xf>
    <xf numFmtId="0" fontId="30" fillId="0" borderId="21" xfId="0" applyFont="1" applyBorder="1" applyAlignment="1">
      <alignment horizontal="right"/>
    </xf>
    <xf numFmtId="199" fontId="0" fillId="36" borderId="26" xfId="0" applyNumberFormat="1" applyFill="1" applyBorder="1" applyAlignment="1">
      <alignment horizontal="right" vertical="center"/>
    </xf>
    <xf numFmtId="199" fontId="0" fillId="36" borderId="21" xfId="0" applyNumberFormat="1" applyFill="1" applyBorder="1" applyAlignment="1">
      <alignment horizontal="right" vertical="center"/>
    </xf>
    <xf numFmtId="200" fontId="0" fillId="0" borderId="26" xfId="0" applyNumberFormat="1" applyBorder="1" applyAlignment="1">
      <alignment/>
    </xf>
    <xf numFmtId="200" fontId="0" fillId="0" borderId="21" xfId="0" applyNumberFormat="1" applyBorder="1" applyAlignment="1">
      <alignment/>
    </xf>
    <xf numFmtId="0" fontId="0" fillId="0" borderId="19" xfId="0" applyNumberFormat="1" applyBorder="1" applyAlignment="1">
      <alignment horizontal="left"/>
    </xf>
    <xf numFmtId="0" fontId="0" fillId="0" borderId="14" xfId="0" applyBorder="1" applyAlignment="1">
      <alignment/>
    </xf>
    <xf numFmtId="0" fontId="0" fillId="0" borderId="16" xfId="0" applyBorder="1" applyAlignment="1">
      <alignment/>
    </xf>
    <xf numFmtId="0" fontId="0" fillId="0" borderId="22" xfId="0" applyBorder="1" applyAlignment="1">
      <alignment horizontal="left"/>
    </xf>
    <xf numFmtId="0" fontId="0" fillId="0" borderId="16" xfId="0" applyBorder="1" applyAlignment="1">
      <alignment horizontal="left"/>
    </xf>
    <xf numFmtId="178" fontId="0" fillId="36" borderId="22" xfId="0" applyNumberFormat="1" applyFill="1" applyBorder="1" applyAlignment="1">
      <alignment/>
    </xf>
    <xf numFmtId="178" fontId="0" fillId="36" borderId="23" xfId="0" applyNumberFormat="1" applyFill="1" applyBorder="1" applyAlignment="1">
      <alignment/>
    </xf>
    <xf numFmtId="178" fontId="0" fillId="36" borderId="16" xfId="0" applyNumberFormat="1" applyFill="1" applyBorder="1" applyAlignment="1">
      <alignment/>
    </xf>
    <xf numFmtId="178" fontId="0" fillId="36" borderId="17" xfId="0" applyNumberFormat="1" applyFill="1" applyBorder="1" applyAlignment="1">
      <alignment/>
    </xf>
    <xf numFmtId="0" fontId="11" fillId="35" borderId="0" xfId="0" applyFont="1" applyFill="1" applyBorder="1" applyAlignment="1">
      <alignment/>
    </xf>
    <xf numFmtId="0" fontId="11" fillId="36" borderId="23" xfId="0" applyFont="1" applyFill="1" applyBorder="1" applyAlignment="1">
      <alignment/>
    </xf>
    <xf numFmtId="199" fontId="0" fillId="36" borderId="17" xfId="0" applyNumberFormat="1" applyFill="1" applyBorder="1" applyAlignment="1">
      <alignment horizontal="center" vertical="center"/>
    </xf>
    <xf numFmtId="0" fontId="0" fillId="0" borderId="21" xfId="0" applyBorder="1" applyAlignment="1">
      <alignment horizontal="center"/>
    </xf>
    <xf numFmtId="174" fontId="0" fillId="35" borderId="26" xfId="0" applyNumberFormat="1" applyFill="1" applyBorder="1" applyAlignment="1">
      <alignment horizontal="center"/>
    </xf>
    <xf numFmtId="174" fontId="0" fillId="36" borderId="21" xfId="0" applyNumberFormat="1" applyFill="1" applyBorder="1" applyAlignment="1">
      <alignment horizontal="center"/>
    </xf>
    <xf numFmtId="178" fontId="0" fillId="36" borderId="26" xfId="0" applyNumberFormat="1" applyFill="1" applyBorder="1" applyAlignment="1">
      <alignment horizontal="center"/>
    </xf>
    <xf numFmtId="178" fontId="0" fillId="36" borderId="21" xfId="0" applyNumberFormat="1" applyFill="1" applyBorder="1" applyAlignment="1">
      <alignment horizontal="center"/>
    </xf>
    <xf numFmtId="0" fontId="0" fillId="0" borderId="17" xfId="0" applyBorder="1" applyAlignment="1">
      <alignment horizontal="center"/>
    </xf>
    <xf numFmtId="0" fontId="0" fillId="0" borderId="14" xfId="0" applyBorder="1" applyAlignment="1">
      <alignment horizontal="centerContinuous"/>
    </xf>
    <xf numFmtId="0" fontId="0" fillId="0" borderId="16" xfId="0" applyBorder="1" applyAlignment="1">
      <alignment horizontal="center"/>
    </xf>
    <xf numFmtId="199" fontId="0" fillId="36" borderId="26" xfId="0" applyNumberFormat="1" applyFill="1" applyBorder="1" applyAlignment="1">
      <alignment horizontal="center" vertical="center"/>
    </xf>
    <xf numFmtId="0" fontId="3" fillId="0" borderId="14" xfId="0" applyFont="1" applyBorder="1" applyAlignment="1">
      <alignment horizontal="centerContinuous"/>
    </xf>
    <xf numFmtId="0" fontId="3" fillId="0" borderId="18" xfId="0" applyFont="1" applyBorder="1" applyAlignment="1">
      <alignment horizontal="centerContinuous"/>
    </xf>
    <xf numFmtId="0" fontId="3" fillId="0" borderId="16" xfId="0" applyFont="1" applyBorder="1" applyAlignment="1">
      <alignment horizontal="center"/>
    </xf>
    <xf numFmtId="0" fontId="3" fillId="0" borderId="17" xfId="0" applyFont="1" applyBorder="1" applyAlignment="1">
      <alignment horizontal="center"/>
    </xf>
    <xf numFmtId="0" fontId="24" fillId="0" borderId="0" xfId="0" applyFont="1" applyAlignment="1">
      <alignment/>
    </xf>
    <xf numFmtId="199" fontId="0" fillId="36" borderId="21" xfId="0" applyNumberFormat="1" applyFill="1" applyBorder="1" applyAlignment="1">
      <alignment horizontal="center" vertical="center"/>
    </xf>
    <xf numFmtId="0" fontId="11" fillId="36" borderId="20" xfId="0" applyFont="1" applyFill="1" applyBorder="1" applyAlignment="1">
      <alignment/>
    </xf>
    <xf numFmtId="187" fontId="0" fillId="35" borderId="13" xfId="0" applyNumberFormat="1" applyFill="1" applyBorder="1" applyAlignment="1">
      <alignment horizontal="center"/>
    </xf>
    <xf numFmtId="199" fontId="0" fillId="35" borderId="26" xfId="0" applyNumberFormat="1" applyFill="1" applyBorder="1" applyAlignment="1">
      <alignment horizontal="center" vertical="center"/>
    </xf>
    <xf numFmtId="199" fontId="0" fillId="35" borderId="21" xfId="0" applyNumberFormat="1" applyFill="1" applyBorder="1" applyAlignment="1">
      <alignment horizontal="center" vertical="center"/>
    </xf>
    <xf numFmtId="199" fontId="3" fillId="36" borderId="0" xfId="0" applyNumberFormat="1" applyFont="1" applyFill="1" applyBorder="1" applyAlignment="1">
      <alignment/>
    </xf>
    <xf numFmtId="199" fontId="3" fillId="36" borderId="23" xfId="0" applyNumberFormat="1" applyFont="1" applyFill="1" applyBorder="1" applyAlignment="1">
      <alignment/>
    </xf>
    <xf numFmtId="199" fontId="3" fillId="36" borderId="11" xfId="0" applyNumberFormat="1" applyFont="1" applyFill="1" applyBorder="1" applyAlignment="1">
      <alignment/>
    </xf>
    <xf numFmtId="199" fontId="3" fillId="36" borderId="17" xfId="0" applyNumberFormat="1" applyFont="1" applyFill="1" applyBorder="1" applyAlignment="1">
      <alignment/>
    </xf>
    <xf numFmtId="199" fontId="24" fillId="36" borderId="19" xfId="0" applyNumberFormat="1" applyFont="1" applyFill="1" applyBorder="1" applyAlignment="1">
      <alignment horizontal="centerContinuous"/>
    </xf>
    <xf numFmtId="199" fontId="24" fillId="36" borderId="25" xfId="0" applyNumberFormat="1" applyFont="1" applyFill="1" applyBorder="1" applyAlignment="1">
      <alignment horizontal="centerContinuous"/>
    </xf>
    <xf numFmtId="0" fontId="0" fillId="0" borderId="0" xfId="0" applyFont="1" applyAlignment="1">
      <alignment/>
    </xf>
    <xf numFmtId="0" fontId="29" fillId="0" borderId="0" xfId="0" applyFont="1" applyAlignment="1">
      <alignment/>
    </xf>
    <xf numFmtId="0" fontId="3" fillId="0" borderId="0" xfId="0" applyFont="1" applyAlignment="1">
      <alignment/>
    </xf>
    <xf numFmtId="0" fontId="31" fillId="0" borderId="0" xfId="0" applyFont="1" applyAlignment="1">
      <alignment/>
    </xf>
    <xf numFmtId="201" fontId="3" fillId="35" borderId="16" xfId="0" applyNumberFormat="1" applyFont="1" applyFill="1" applyBorder="1" applyAlignment="1">
      <alignment horizontal="center"/>
    </xf>
    <xf numFmtId="0" fontId="4" fillId="0" borderId="11" xfId="0" applyFont="1" applyFill="1" applyBorder="1" applyAlignment="1">
      <alignment horizontal="center"/>
    </xf>
    <xf numFmtId="201" fontId="3" fillId="35" borderId="11" xfId="0" applyNumberFormat="1" applyFont="1" applyFill="1" applyBorder="1" applyAlignment="1">
      <alignment horizontal="center"/>
    </xf>
    <xf numFmtId="202" fontId="3" fillId="34" borderId="17" xfId="0" applyNumberFormat="1" applyFont="1" applyFill="1" applyBorder="1" applyAlignment="1">
      <alignment horizontal="center"/>
    </xf>
    <xf numFmtId="168" fontId="3" fillId="36" borderId="17" xfId="0" applyNumberFormat="1" applyFont="1" applyFill="1" applyBorder="1" applyAlignment="1">
      <alignment horizontal="center"/>
    </xf>
    <xf numFmtId="0" fontId="14" fillId="0" borderId="0" xfId="48" applyFill="1" applyAlignment="1" applyProtection="1">
      <alignment horizontal="centerContinuous"/>
      <protection/>
    </xf>
    <xf numFmtId="0" fontId="0" fillId="0" borderId="0" xfId="0" applyAlignment="1">
      <alignment vertical="top"/>
    </xf>
    <xf numFmtId="187" fontId="0" fillId="36" borderId="13" xfId="0" applyNumberFormat="1" applyFill="1" applyBorder="1" applyAlignment="1">
      <alignment/>
    </xf>
    <xf numFmtId="169" fontId="0" fillId="36" borderId="13" xfId="0" applyNumberFormat="1" applyFill="1" applyBorder="1" applyAlignment="1">
      <alignment/>
    </xf>
    <xf numFmtId="189" fontId="0" fillId="36" borderId="13" xfId="0" applyNumberFormat="1" applyFill="1" applyBorder="1" applyAlignment="1">
      <alignment/>
    </xf>
    <xf numFmtId="171" fontId="3" fillId="0" borderId="19" xfId="0" applyNumberFormat="1" applyFont="1" applyFill="1" applyBorder="1" applyAlignment="1">
      <alignment horizontal="center"/>
    </xf>
    <xf numFmtId="171" fontId="3" fillId="0" borderId="24" xfId="0" applyNumberFormat="1" applyFont="1" applyFill="1" applyBorder="1" applyAlignment="1">
      <alignment horizontal="center"/>
    </xf>
    <xf numFmtId="166" fontId="8" fillId="0" borderId="25" xfId="0" applyNumberFormat="1" applyFont="1" applyFill="1" applyBorder="1" applyAlignment="1">
      <alignment horizontal="center"/>
    </xf>
    <xf numFmtId="203" fontId="0" fillId="36" borderId="31" xfId="0" applyNumberFormat="1" applyFill="1" applyBorder="1" applyAlignment="1">
      <alignment/>
    </xf>
    <xf numFmtId="203" fontId="3" fillId="36" borderId="51" xfId="0" applyNumberFormat="1" applyFont="1" applyFill="1" applyBorder="1" applyAlignment="1">
      <alignment/>
    </xf>
    <xf numFmtId="203" fontId="0" fillId="36" borderId="34" xfId="0" applyNumberFormat="1" applyFill="1" applyBorder="1" applyAlignment="1">
      <alignment/>
    </xf>
    <xf numFmtId="203" fontId="3" fillId="36" borderId="52" xfId="0" applyNumberFormat="1" applyFont="1" applyFill="1" applyBorder="1" applyAlignment="1">
      <alignment/>
    </xf>
    <xf numFmtId="0" fontId="33" fillId="33" borderId="0" xfId="0" applyFont="1" applyFill="1" applyAlignment="1">
      <alignment horizontal="centerContinuous"/>
    </xf>
    <xf numFmtId="0" fontId="3" fillId="36" borderId="0" xfId="0" applyFont="1" applyFill="1" applyAlignment="1">
      <alignment horizontal="right"/>
    </xf>
    <xf numFmtId="0" fontId="0" fillId="0" borderId="40" xfId="0" applyBorder="1" applyAlignment="1">
      <alignment/>
    </xf>
    <xf numFmtId="0" fontId="0" fillId="0" borderId="35" xfId="0" applyBorder="1" applyAlignment="1">
      <alignment/>
    </xf>
    <xf numFmtId="0" fontId="0" fillId="0" borderId="41" xfId="0" applyBorder="1" applyAlignment="1">
      <alignment/>
    </xf>
    <xf numFmtId="0" fontId="3" fillId="0" borderId="0" xfId="0" applyFont="1" applyBorder="1" applyAlignment="1">
      <alignment/>
    </xf>
    <xf numFmtId="204" fontId="3" fillId="35" borderId="0" xfId="0" applyNumberFormat="1" applyFont="1" applyFill="1" applyBorder="1" applyAlignment="1">
      <alignment/>
    </xf>
    <xf numFmtId="0" fontId="7" fillId="0" borderId="0" xfId="0" applyFont="1" applyBorder="1" applyAlignment="1">
      <alignment horizontal="center"/>
    </xf>
    <xf numFmtId="0" fontId="3" fillId="0" borderId="0" xfId="0" applyFont="1" applyBorder="1" applyAlignment="1">
      <alignment horizontal="centerContinuous"/>
    </xf>
    <xf numFmtId="0" fontId="7" fillId="0" borderId="0" xfId="0" applyFont="1" applyBorder="1" applyAlignment="1">
      <alignment horizontal="centerContinuous"/>
    </xf>
    <xf numFmtId="0" fontId="0" fillId="0" borderId="31" xfId="0" applyBorder="1" applyAlignment="1">
      <alignment/>
    </xf>
    <xf numFmtId="0" fontId="3" fillId="0" borderId="0" xfId="0" applyFont="1" applyBorder="1" applyAlignment="1">
      <alignment wrapText="1"/>
    </xf>
    <xf numFmtId="205" fontId="3" fillId="35" borderId="0" xfId="0" applyNumberFormat="1" applyFont="1" applyFill="1" applyBorder="1" applyAlignment="1">
      <alignment/>
    </xf>
    <xf numFmtId="207" fontId="0" fillId="36" borderId="0" xfId="0" applyNumberFormat="1" applyFill="1" applyBorder="1" applyAlignment="1">
      <alignment/>
    </xf>
    <xf numFmtId="9" fontId="0" fillId="35" borderId="0" xfId="0" applyNumberFormat="1" applyFill="1" applyBorder="1" applyAlignment="1">
      <alignment/>
    </xf>
    <xf numFmtId="9" fontId="0" fillId="36" borderId="0" xfId="0" applyNumberFormat="1" applyFill="1" applyBorder="1" applyAlignment="1">
      <alignment/>
    </xf>
    <xf numFmtId="208" fontId="0" fillId="36" borderId="0" xfId="0" applyNumberFormat="1" applyFill="1" applyBorder="1" applyAlignment="1">
      <alignment/>
    </xf>
    <xf numFmtId="209" fontId="0" fillId="38" borderId="0" xfId="0" applyNumberFormat="1" applyFill="1" applyBorder="1" applyAlignment="1">
      <alignment/>
    </xf>
    <xf numFmtId="0" fontId="2" fillId="0" borderId="30" xfId="0" applyFont="1" applyBorder="1" applyAlignment="1">
      <alignment/>
    </xf>
    <xf numFmtId="209" fontId="0" fillId="0" borderId="0" xfId="0" applyNumberFormat="1" applyFill="1" applyBorder="1" applyAlignment="1">
      <alignment/>
    </xf>
    <xf numFmtId="207" fontId="0" fillId="0" borderId="0" xfId="0" applyNumberFormat="1" applyFill="1" applyBorder="1" applyAlignment="1">
      <alignment/>
    </xf>
    <xf numFmtId="9" fontId="0" fillId="0" borderId="0" xfId="0" applyNumberFormat="1" applyFill="1" applyBorder="1" applyAlignment="1">
      <alignment/>
    </xf>
    <xf numFmtId="208" fontId="0" fillId="0" borderId="0" xfId="0" applyNumberFormat="1" applyFill="1" applyBorder="1" applyAlignment="1">
      <alignment/>
    </xf>
    <xf numFmtId="0" fontId="4" fillId="0" borderId="32" xfId="0" applyFont="1" applyBorder="1" applyAlignment="1">
      <alignment horizontal="left"/>
    </xf>
    <xf numFmtId="205" fontId="3" fillId="35" borderId="33" xfId="0" applyNumberFormat="1" applyFont="1" applyFill="1" applyBorder="1" applyAlignment="1">
      <alignment/>
    </xf>
    <xf numFmtId="207" fontId="3" fillId="36" borderId="33" xfId="0" applyNumberFormat="1" applyFont="1" applyFill="1" applyBorder="1" applyAlignment="1">
      <alignment/>
    </xf>
    <xf numFmtId="9" fontId="3" fillId="35" borderId="33" xfId="0" applyNumberFormat="1" applyFont="1" applyFill="1" applyBorder="1" applyAlignment="1">
      <alignment/>
    </xf>
    <xf numFmtId="9" fontId="3" fillId="36" borderId="33" xfId="0" applyNumberFormat="1" applyFont="1" applyFill="1" applyBorder="1" applyAlignment="1">
      <alignment/>
    </xf>
    <xf numFmtId="208" fontId="3" fillId="36" borderId="33" xfId="0" applyNumberFormat="1" applyFont="1" applyFill="1" applyBorder="1" applyAlignment="1">
      <alignment/>
    </xf>
    <xf numFmtId="209" fontId="3" fillId="34" borderId="33" xfId="0" applyNumberFormat="1" applyFont="1" applyFill="1" applyBorder="1" applyAlignment="1">
      <alignment/>
    </xf>
    <xf numFmtId="9" fontId="0" fillId="0" borderId="0" xfId="0" applyNumberFormat="1" applyBorder="1" applyAlignment="1">
      <alignment/>
    </xf>
    <xf numFmtId="0" fontId="3" fillId="0" borderId="33" xfId="0" applyFont="1" applyBorder="1" applyAlignment="1">
      <alignment wrapText="1"/>
    </xf>
    <xf numFmtId="209" fontId="0" fillId="36" borderId="33" xfId="0" applyNumberFormat="1" applyFill="1" applyBorder="1" applyAlignment="1">
      <alignment/>
    </xf>
    <xf numFmtId="207" fontId="0" fillId="36" borderId="33" xfId="0" applyNumberFormat="1" applyFill="1" applyBorder="1" applyAlignment="1">
      <alignment/>
    </xf>
    <xf numFmtId="9" fontId="0" fillId="36" borderId="33" xfId="0" applyNumberFormat="1" applyFill="1" applyBorder="1" applyAlignment="1">
      <alignment/>
    </xf>
    <xf numFmtId="208" fontId="0" fillId="36" borderId="33" xfId="0" applyNumberFormat="1" applyFill="1" applyBorder="1" applyAlignment="1">
      <alignment/>
    </xf>
    <xf numFmtId="0" fontId="0" fillId="0" borderId="30" xfId="0" applyBorder="1" applyAlignment="1">
      <alignment/>
    </xf>
    <xf numFmtId="209" fontId="24" fillId="36" borderId="0" xfId="0" applyNumberFormat="1" applyFont="1" applyFill="1" applyBorder="1" applyAlignment="1">
      <alignment/>
    </xf>
    <xf numFmtId="209" fontId="0" fillId="36" borderId="0" xfId="0" applyNumberFormat="1" applyFill="1" applyBorder="1" applyAlignment="1">
      <alignment/>
    </xf>
    <xf numFmtId="209" fontId="3" fillId="36" borderId="0" xfId="0" applyNumberFormat="1" applyFont="1" applyFill="1" applyBorder="1" applyAlignment="1">
      <alignment/>
    </xf>
    <xf numFmtId="0" fontId="4" fillId="0" borderId="30" xfId="0" applyFont="1" applyBorder="1" applyAlignment="1">
      <alignment/>
    </xf>
    <xf numFmtId="207" fontId="3" fillId="36" borderId="0" xfId="0" applyNumberFormat="1" applyFont="1" applyFill="1" applyBorder="1" applyAlignment="1">
      <alignment/>
    </xf>
    <xf numFmtId="9" fontId="3" fillId="36" borderId="0" xfId="0" applyNumberFormat="1" applyFont="1" applyFill="1" applyBorder="1" applyAlignment="1">
      <alignment/>
    </xf>
    <xf numFmtId="208" fontId="3" fillId="36" borderId="0" xfId="0" applyNumberFormat="1" applyFont="1" applyFill="1" applyBorder="1" applyAlignment="1">
      <alignment/>
    </xf>
    <xf numFmtId="0" fontId="0" fillId="0" borderId="32" xfId="0" applyBorder="1" applyAlignment="1">
      <alignment/>
    </xf>
    <xf numFmtId="0" fontId="0" fillId="0" borderId="34" xfId="0" applyBorder="1" applyAlignment="1">
      <alignment/>
    </xf>
    <xf numFmtId="0" fontId="34" fillId="34" borderId="27" xfId="0" applyFont="1" applyFill="1" applyBorder="1" applyAlignment="1">
      <alignment horizontal="centerContinuous"/>
    </xf>
    <xf numFmtId="0" fontId="0" fillId="34" borderId="28" xfId="0" applyFont="1" applyFill="1" applyBorder="1" applyAlignment="1">
      <alignment horizontal="centerContinuous"/>
    </xf>
    <xf numFmtId="0" fontId="35" fillId="34" borderId="28" xfId="0" applyFont="1" applyFill="1" applyBorder="1" applyAlignment="1">
      <alignment horizontal="centerContinuous"/>
    </xf>
    <xf numFmtId="0" fontId="0" fillId="34" borderId="29" xfId="0" applyFont="1" applyFill="1" applyBorder="1" applyAlignment="1">
      <alignment/>
    </xf>
    <xf numFmtId="0" fontId="36" fillId="0" borderId="0" xfId="0" applyFont="1" applyBorder="1" applyAlignment="1">
      <alignment horizontal="centerContinuous"/>
    </xf>
    <xf numFmtId="0" fontId="4" fillId="0" borderId="30" xfId="0" applyFont="1" applyBorder="1" applyAlignment="1">
      <alignment horizontal="left"/>
    </xf>
    <xf numFmtId="205" fontId="3" fillId="36" borderId="0" xfId="0" applyNumberFormat="1" applyFont="1" applyFill="1" applyBorder="1" applyAlignment="1">
      <alignment/>
    </xf>
    <xf numFmtId="0" fontId="2" fillId="0" borderId="32" xfId="0" applyFont="1" applyBorder="1" applyAlignment="1">
      <alignment/>
    </xf>
    <xf numFmtId="174" fontId="0" fillId="36" borderId="33" xfId="0" applyNumberFormat="1" applyFill="1" applyBorder="1" applyAlignment="1">
      <alignment/>
    </xf>
    <xf numFmtId="0" fontId="0" fillId="0" borderId="33" xfId="0" applyBorder="1" applyAlignment="1">
      <alignment horizontal="center"/>
    </xf>
    <xf numFmtId="210" fontId="0" fillId="36" borderId="33" xfId="0" applyNumberFormat="1" applyFill="1" applyBorder="1" applyAlignment="1">
      <alignment/>
    </xf>
    <xf numFmtId="169" fontId="3" fillId="38" borderId="33" xfId="0" applyNumberFormat="1" applyFont="1" applyFill="1" applyBorder="1" applyAlignment="1">
      <alignment/>
    </xf>
    <xf numFmtId="169" fontId="0" fillId="0" borderId="33" xfId="0" applyNumberFormat="1" applyFill="1" applyBorder="1" applyAlignment="1">
      <alignment/>
    </xf>
    <xf numFmtId="210" fontId="0" fillId="36" borderId="33" xfId="0" applyNumberFormat="1" applyFill="1" applyBorder="1" applyAlignment="1">
      <alignment horizontal="center"/>
    </xf>
    <xf numFmtId="9" fontId="0" fillId="0" borderId="0" xfId="0" applyNumberFormat="1" applyAlignment="1">
      <alignment/>
    </xf>
    <xf numFmtId="206" fontId="0" fillId="0" borderId="0" xfId="0" applyNumberFormat="1" applyAlignment="1">
      <alignment/>
    </xf>
    <xf numFmtId="0" fontId="0" fillId="0" borderId="0" xfId="0" applyAlignment="1">
      <alignment horizontal="right"/>
    </xf>
    <xf numFmtId="205" fontId="0" fillId="36" borderId="33" xfId="0" applyNumberFormat="1" applyFill="1" applyBorder="1" applyAlignment="1">
      <alignment/>
    </xf>
    <xf numFmtId="2" fontId="0" fillId="36" borderId="33" xfId="0" applyNumberFormat="1" applyFill="1" applyBorder="1" applyAlignment="1">
      <alignment/>
    </xf>
    <xf numFmtId="169" fontId="3" fillId="34" borderId="33" xfId="0" applyNumberFormat="1" applyFont="1" applyFill="1" applyBorder="1" applyAlignment="1">
      <alignment/>
    </xf>
    <xf numFmtId="0" fontId="6" fillId="0" borderId="0" xfId="0" applyFont="1" applyAlignment="1">
      <alignment horizontal="left" indent="3"/>
    </xf>
    <xf numFmtId="174" fontId="0" fillId="0" borderId="0" xfId="0" applyNumberFormat="1" applyAlignment="1">
      <alignment/>
    </xf>
    <xf numFmtId="210" fontId="0" fillId="0" borderId="0" xfId="0" applyNumberFormat="1" applyAlignment="1">
      <alignment/>
    </xf>
    <xf numFmtId="169" fontId="0" fillId="34" borderId="0" xfId="0" applyNumberFormat="1" applyFill="1" applyBorder="1" applyAlignment="1">
      <alignment/>
    </xf>
    <xf numFmtId="0" fontId="0" fillId="0" borderId="0" xfId="0" applyBorder="1" applyAlignment="1" quotePrefix="1">
      <alignment horizontal="center"/>
    </xf>
    <xf numFmtId="169" fontId="0" fillId="38" borderId="0" xfId="0" applyNumberFormat="1" applyFill="1" applyBorder="1" applyAlignment="1">
      <alignment/>
    </xf>
    <xf numFmtId="209" fontId="3" fillId="40" borderId="0" xfId="0" applyNumberFormat="1" applyFont="1" applyFill="1" applyBorder="1" applyAlignment="1">
      <alignment/>
    </xf>
    <xf numFmtId="209" fontId="0" fillId="34" borderId="0" xfId="0" applyNumberFormat="1" applyFill="1" applyBorder="1" applyAlignment="1">
      <alignment/>
    </xf>
    <xf numFmtId="205" fontId="0" fillId="0" borderId="0" xfId="0" applyNumberFormat="1" applyAlignment="1">
      <alignment/>
    </xf>
    <xf numFmtId="209" fontId="0" fillId="0" borderId="0" xfId="0" applyNumberFormat="1" applyBorder="1" applyAlignment="1">
      <alignment/>
    </xf>
    <xf numFmtId="0" fontId="0" fillId="0" borderId="33" xfId="0" applyBorder="1" applyAlignment="1" quotePrefix="1">
      <alignment horizontal="center"/>
    </xf>
    <xf numFmtId="209" fontId="24" fillId="36" borderId="33" xfId="0" applyNumberFormat="1" applyFont="1" applyFill="1" applyBorder="1" applyAlignment="1">
      <alignment/>
    </xf>
    <xf numFmtId="0" fontId="13" fillId="33" borderId="0" xfId="0" applyFont="1" applyFill="1" applyAlignment="1">
      <alignment/>
    </xf>
    <xf numFmtId="166" fontId="3" fillId="36" borderId="19" xfId="0" applyNumberFormat="1" applyFont="1" applyFill="1" applyBorder="1" applyAlignment="1">
      <alignment horizontal="center"/>
    </xf>
    <xf numFmtId="0" fontId="0" fillId="0" borderId="25" xfId="0" applyFill="1" applyBorder="1" applyAlignment="1">
      <alignment/>
    </xf>
    <xf numFmtId="164" fontId="3" fillId="0" borderId="25" xfId="0" applyNumberFormat="1" applyFont="1" applyFill="1" applyBorder="1" applyAlignment="1">
      <alignment horizontal="center"/>
    </xf>
    <xf numFmtId="0" fontId="0" fillId="0" borderId="18" xfId="0" applyFill="1" applyBorder="1" applyAlignment="1">
      <alignment/>
    </xf>
    <xf numFmtId="0" fontId="0" fillId="0" borderId="17" xfId="0" applyFill="1" applyBorder="1" applyAlignment="1">
      <alignment/>
    </xf>
    <xf numFmtId="164" fontId="3" fillId="0" borderId="17" xfId="0" applyNumberFormat="1" applyFont="1" applyFill="1" applyBorder="1" applyAlignment="1">
      <alignment/>
    </xf>
    <xf numFmtId="166" fontId="8" fillId="0" borderId="19" xfId="0" applyNumberFormat="1" applyFont="1" applyFill="1" applyBorder="1" applyAlignment="1">
      <alignment horizontal="center"/>
    </xf>
    <xf numFmtId="166" fontId="3" fillId="41" borderId="17" xfId="0" applyNumberFormat="1" applyFont="1" applyFill="1" applyBorder="1" applyAlignment="1">
      <alignment horizontal="center"/>
    </xf>
    <xf numFmtId="0" fontId="6" fillId="34" borderId="0" xfId="0" applyFont="1" applyFill="1" applyAlignment="1">
      <alignment horizontal="right"/>
    </xf>
    <xf numFmtId="0" fontId="3" fillId="0" borderId="20" xfId="0" applyFont="1" applyBorder="1" applyAlignment="1">
      <alignment horizontal="center"/>
    </xf>
    <xf numFmtId="0" fontId="1" fillId="0" borderId="21" xfId="0" applyFont="1" applyBorder="1" applyAlignment="1">
      <alignment horizontal="center" vertical="top" wrapText="1"/>
    </xf>
    <xf numFmtId="166" fontId="3" fillId="36" borderId="13" xfId="0" applyNumberFormat="1" applyFont="1" applyFill="1" applyBorder="1" applyAlignment="1">
      <alignment horizontal="center"/>
    </xf>
    <xf numFmtId="211" fontId="3" fillId="6" borderId="19" xfId="0" applyNumberFormat="1" applyFont="1" applyFill="1" applyBorder="1" applyAlignment="1">
      <alignment horizontal="center"/>
    </xf>
    <xf numFmtId="0" fontId="0" fillId="34" borderId="0" xfId="0" applyFont="1" applyFill="1" applyAlignment="1">
      <alignment/>
    </xf>
    <xf numFmtId="0" fontId="73" fillId="34" borderId="0" xfId="0" applyFont="1" applyFill="1" applyAlignment="1">
      <alignment/>
    </xf>
    <xf numFmtId="0" fontId="14" fillId="35" borderId="0" xfId="48" applyFill="1" applyAlignment="1" applyProtection="1">
      <alignment horizontal="center" vertical="center" wrapText="1"/>
      <protection/>
    </xf>
    <xf numFmtId="0" fontId="20" fillId="35" borderId="0" xfId="48" applyFont="1" applyFill="1" applyAlignment="1" applyProtection="1">
      <alignment horizontal="center" vertical="center" wrapText="1"/>
      <protection/>
    </xf>
    <xf numFmtId="0" fontId="1" fillId="34" borderId="0" xfId="0" applyFont="1" applyFill="1" applyAlignment="1">
      <alignment vertical="top" wrapText="1"/>
    </xf>
    <xf numFmtId="0" fontId="0" fillId="34" borderId="0" xfId="0" applyFill="1" applyAlignment="1">
      <alignment/>
    </xf>
    <xf numFmtId="0" fontId="31" fillId="0" borderId="0" xfId="0" applyNumberFormat="1" applyFont="1" applyFill="1" applyAlignment="1">
      <alignment horizontal="justify" vertical="top" wrapText="1"/>
    </xf>
    <xf numFmtId="0" fontId="31" fillId="0" borderId="0" xfId="0" applyFont="1" applyAlignment="1">
      <alignment horizontal="justify" vertical="top" wrapText="1"/>
    </xf>
    <xf numFmtId="0" fontId="32" fillId="0" borderId="19" xfId="0" applyFont="1" applyFill="1" applyBorder="1" applyAlignment="1">
      <alignment vertical="top" wrapText="1"/>
    </xf>
    <xf numFmtId="0" fontId="0" fillId="0" borderId="24" xfId="0" applyBorder="1" applyAlignment="1">
      <alignment/>
    </xf>
    <xf numFmtId="0" fontId="0" fillId="0" borderId="25" xfId="0" applyBorder="1" applyAlignment="1">
      <alignment/>
    </xf>
    <xf numFmtId="0" fontId="32" fillId="0" borderId="0" xfId="0" applyFont="1" applyAlignment="1">
      <alignment vertical="top" wrapText="1"/>
    </xf>
    <xf numFmtId="0" fontId="31" fillId="0" borderId="0" xfId="0" applyFont="1" applyAlignment="1">
      <alignment vertical="top"/>
    </xf>
    <xf numFmtId="0" fontId="4" fillId="0" borderId="30" xfId="0" applyFont="1" applyBorder="1" applyAlignment="1">
      <alignment horizontal="left" vertical="distributed"/>
    </xf>
    <xf numFmtId="0" fontId="0" fillId="0" borderId="30" xfId="0" applyBorder="1" applyAlignment="1">
      <alignment vertical="distributed"/>
    </xf>
    <xf numFmtId="0" fontId="0" fillId="0" borderId="32" xfId="0" applyBorder="1" applyAlignment="1">
      <alignment vertical="distributed"/>
    </xf>
    <xf numFmtId="0" fontId="0" fillId="34" borderId="0" xfId="0" applyFill="1" applyAlignment="1">
      <alignment horizontal="justify" vertical="top" wrapText="1"/>
    </xf>
    <xf numFmtId="0" fontId="0" fillId="0" borderId="0" xfId="0" applyAlignment="1">
      <alignment horizontal="justify" vertical="top" wrapText="1"/>
    </xf>
    <xf numFmtId="196" fontId="3" fillId="36" borderId="27" xfId="0" applyNumberFormat="1" applyFont="1" applyFill="1" applyBorder="1" applyAlignment="1">
      <alignment horizontal="center"/>
    </xf>
    <xf numFmtId="0" fontId="0" fillId="0" borderId="29" xfId="0" applyBorder="1" applyAlignment="1">
      <alignment horizontal="center"/>
    </xf>
    <xf numFmtId="0" fontId="3" fillId="0" borderId="0" xfId="0" applyFont="1" applyAlignment="1">
      <alignment vertical="top" wrapText="1"/>
    </xf>
    <xf numFmtId="0" fontId="0" fillId="0" borderId="0" xfId="0" applyAlignment="1">
      <alignmen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625"/>
          <c:w val="0.968"/>
          <c:h val="0.9475"/>
        </c:manualLayout>
      </c:layout>
      <c:areaChart>
        <c:grouping val="standard"/>
        <c:varyColors val="0"/>
        <c:ser>
          <c:idx val="0"/>
          <c:order val="0"/>
          <c:tx>
            <c:strRef>
              <c:f>Tauchprofil!$B$3</c:f>
              <c:strCache>
                <c:ptCount val="1"/>
                <c:pt idx="0">
                  <c:v>Tiefe</c:v>
                </c:pt>
              </c:strCache>
            </c:strRef>
          </c:tx>
          <c:spPr>
            <a:gradFill rotWithShape="1">
              <a:gsLst>
                <a:gs pos="0">
                  <a:srgbClr val="CCCCFF"/>
                </a:gs>
                <a:gs pos="100000">
                  <a:srgbClr val="0000FF"/>
                </a:gs>
              </a:gsLst>
              <a:lin ang="5400000" scaled="1"/>
            </a:gra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Ref>
              <c:f>Tauchprofil!$A$4:$A$63</c:f>
              <c:numCache/>
            </c:numRef>
          </c:cat>
          <c:val>
            <c:numRef>
              <c:f>Tauchprofil!$B$4:$B$63</c:f>
              <c:numCache/>
            </c:numRef>
          </c:val>
        </c:ser>
        <c:axId val="22408734"/>
        <c:axId val="352015"/>
      </c:areaChart>
      <c:catAx>
        <c:axId val="22408734"/>
        <c:scaling>
          <c:orientation val="minMax"/>
        </c:scaling>
        <c:axPos val="b"/>
        <c:delete val="0"/>
        <c:numFmt formatCode="General" sourceLinked="1"/>
        <c:majorTickMark val="out"/>
        <c:minorTickMark val="none"/>
        <c:tickLblPos val="nextTo"/>
        <c:spPr>
          <a:ln w="3175">
            <a:solidFill>
              <a:srgbClr val="000000"/>
            </a:solidFill>
          </a:ln>
        </c:spPr>
        <c:crossAx val="352015"/>
        <c:crosses val="autoZero"/>
        <c:auto val="1"/>
        <c:lblOffset val="100"/>
        <c:tickLblSkip val="5"/>
        <c:noMultiLvlLbl val="0"/>
      </c:catAx>
      <c:valAx>
        <c:axId val="3520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408734"/>
        <c:crossesAt val="1"/>
        <c:crossBetween val="midCat"/>
        <c:dispUnits/>
      </c:valAx>
      <c:spPr>
        <a:gradFill rotWithShape="1">
          <a:gsLst>
            <a:gs pos="0">
              <a:srgbClr val="FFFFFF"/>
            </a:gs>
            <a:gs pos="100000">
              <a:srgbClr val="000000"/>
            </a:gs>
          </a:gsLst>
          <a:lin ang="5400000" scaled="1"/>
        </a:gradFill>
        <a:ln w="12700">
          <a:solidFill>
            <a:srgbClr val="808080"/>
          </a:solidFill>
        </a:ln>
      </c:spPr>
    </c:plotArea>
    <c:plotVisOnly val="1"/>
    <c:dispBlanksAs val="zero"/>
    <c:showDLblsOverMax val="0"/>
  </c:chart>
  <c:spPr>
    <a:solidFill>
      <a:srgbClr val="C0C0C0"/>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133350</xdr:rowOff>
    </xdr:from>
    <xdr:to>
      <xdr:col>6</xdr:col>
      <xdr:colOff>752475</xdr:colOff>
      <xdr:row>2</xdr:row>
      <xdr:rowOff>495300</xdr:rowOff>
    </xdr:to>
    <xdr:pic>
      <xdr:nvPicPr>
        <xdr:cNvPr id="1" name="Picture 1" descr="dive"/>
        <xdr:cNvPicPr preferRelativeResize="1">
          <a:picLocks noChangeAspect="1"/>
        </xdr:cNvPicPr>
      </xdr:nvPicPr>
      <xdr:blipFill>
        <a:blip r:embed="rId1"/>
        <a:stretch>
          <a:fillRect/>
        </a:stretch>
      </xdr:blipFill>
      <xdr:spPr>
        <a:xfrm>
          <a:off x="4495800" y="209550"/>
          <a:ext cx="7429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14</xdr:row>
      <xdr:rowOff>57150</xdr:rowOff>
    </xdr:from>
    <xdr:to>
      <xdr:col>8</xdr:col>
      <xdr:colOff>638175</xdr:colOff>
      <xdr:row>15</xdr:row>
      <xdr:rowOff>104775</xdr:rowOff>
    </xdr:to>
    <xdr:sp>
      <xdr:nvSpPr>
        <xdr:cNvPr id="1" name="Line 1"/>
        <xdr:cNvSpPr>
          <a:spLocks/>
        </xdr:cNvSpPr>
      </xdr:nvSpPr>
      <xdr:spPr>
        <a:xfrm flipH="1" flipV="1">
          <a:off x="3190875" y="2676525"/>
          <a:ext cx="2943225" cy="219075"/>
        </a:xfrm>
        <a:prstGeom prst="line">
          <a:avLst/>
        </a:prstGeom>
        <a:noFill/>
        <a:ln w="2857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0</xdr:rowOff>
    </xdr:from>
    <xdr:to>
      <xdr:col>6</xdr:col>
      <xdr:colOff>638175</xdr:colOff>
      <xdr:row>4</xdr:row>
      <xdr:rowOff>0</xdr:rowOff>
    </xdr:to>
    <xdr:sp>
      <xdr:nvSpPr>
        <xdr:cNvPr id="1" name="Line 1"/>
        <xdr:cNvSpPr>
          <a:spLocks/>
        </xdr:cNvSpPr>
      </xdr:nvSpPr>
      <xdr:spPr>
        <a:xfrm flipH="1" flipV="1">
          <a:off x="2600325" y="800100"/>
          <a:ext cx="2571750" cy="0"/>
        </a:xfrm>
        <a:prstGeom prst="line">
          <a:avLst/>
        </a:prstGeom>
        <a:noFill/>
        <a:ln w="2857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0</xdr:colOff>
      <xdr:row>6</xdr:row>
      <xdr:rowOff>38100</xdr:rowOff>
    </xdr:from>
    <xdr:to>
      <xdr:col>5</xdr:col>
      <xdr:colOff>542925</xdr:colOff>
      <xdr:row>9</xdr:row>
      <xdr:rowOff>57150</xdr:rowOff>
    </xdr:to>
    <xdr:pic>
      <xdr:nvPicPr>
        <xdr:cNvPr id="2" name="Picture 3" descr="Schall"/>
        <xdr:cNvPicPr preferRelativeResize="1">
          <a:picLocks noChangeAspect="1"/>
        </xdr:cNvPicPr>
      </xdr:nvPicPr>
      <xdr:blipFill>
        <a:blip r:embed="rId1"/>
        <a:stretch>
          <a:fillRect/>
        </a:stretch>
      </xdr:blipFill>
      <xdr:spPr>
        <a:xfrm>
          <a:off x="381000" y="1628775"/>
          <a:ext cx="38100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11</xdr:row>
      <xdr:rowOff>76200</xdr:rowOff>
    </xdr:from>
    <xdr:to>
      <xdr:col>2</xdr:col>
      <xdr:colOff>981075</xdr:colOff>
      <xdr:row>11</xdr:row>
      <xdr:rowOff>76200</xdr:rowOff>
    </xdr:to>
    <xdr:sp>
      <xdr:nvSpPr>
        <xdr:cNvPr id="1" name="Line 9"/>
        <xdr:cNvSpPr>
          <a:spLocks/>
        </xdr:cNvSpPr>
      </xdr:nvSpPr>
      <xdr:spPr>
        <a:xfrm>
          <a:off x="1400175" y="2038350"/>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9</xdr:row>
      <xdr:rowOff>57150</xdr:rowOff>
    </xdr:from>
    <xdr:to>
      <xdr:col>2</xdr:col>
      <xdr:colOff>971550</xdr:colOff>
      <xdr:row>9</xdr:row>
      <xdr:rowOff>57150</xdr:rowOff>
    </xdr:to>
    <xdr:sp>
      <xdr:nvSpPr>
        <xdr:cNvPr id="2" name="Line 8"/>
        <xdr:cNvSpPr>
          <a:spLocks/>
        </xdr:cNvSpPr>
      </xdr:nvSpPr>
      <xdr:spPr>
        <a:xfrm>
          <a:off x="1390650" y="1666875"/>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209550</xdr:colOff>
      <xdr:row>13</xdr:row>
      <xdr:rowOff>104775</xdr:rowOff>
    </xdr:from>
    <xdr:to>
      <xdr:col>2</xdr:col>
      <xdr:colOff>962025</xdr:colOff>
      <xdr:row>13</xdr:row>
      <xdr:rowOff>104775</xdr:rowOff>
    </xdr:to>
    <xdr:sp>
      <xdr:nvSpPr>
        <xdr:cNvPr id="3" name="Line 16"/>
        <xdr:cNvSpPr>
          <a:spLocks/>
        </xdr:cNvSpPr>
      </xdr:nvSpPr>
      <xdr:spPr>
        <a:xfrm>
          <a:off x="1381125" y="2390775"/>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15</xdr:row>
      <xdr:rowOff>114300</xdr:rowOff>
    </xdr:from>
    <xdr:to>
      <xdr:col>2</xdr:col>
      <xdr:colOff>933450</xdr:colOff>
      <xdr:row>15</xdr:row>
      <xdr:rowOff>114300</xdr:rowOff>
    </xdr:to>
    <xdr:sp>
      <xdr:nvSpPr>
        <xdr:cNvPr id="4" name="Line 17"/>
        <xdr:cNvSpPr>
          <a:spLocks/>
        </xdr:cNvSpPr>
      </xdr:nvSpPr>
      <xdr:spPr>
        <a:xfrm>
          <a:off x="1352550" y="2724150"/>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17</xdr:row>
      <xdr:rowOff>133350</xdr:rowOff>
    </xdr:from>
    <xdr:to>
      <xdr:col>2</xdr:col>
      <xdr:colOff>933450</xdr:colOff>
      <xdr:row>17</xdr:row>
      <xdr:rowOff>133350</xdr:rowOff>
    </xdr:to>
    <xdr:sp>
      <xdr:nvSpPr>
        <xdr:cNvPr id="5" name="Line 18"/>
        <xdr:cNvSpPr>
          <a:spLocks/>
        </xdr:cNvSpPr>
      </xdr:nvSpPr>
      <xdr:spPr>
        <a:xfrm>
          <a:off x="1352550" y="3067050"/>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20</xdr:row>
      <xdr:rowOff>76200</xdr:rowOff>
    </xdr:from>
    <xdr:to>
      <xdr:col>2</xdr:col>
      <xdr:colOff>933450</xdr:colOff>
      <xdr:row>20</xdr:row>
      <xdr:rowOff>76200</xdr:rowOff>
    </xdr:to>
    <xdr:sp>
      <xdr:nvSpPr>
        <xdr:cNvPr id="6" name="Line 19"/>
        <xdr:cNvSpPr>
          <a:spLocks/>
        </xdr:cNvSpPr>
      </xdr:nvSpPr>
      <xdr:spPr>
        <a:xfrm>
          <a:off x="1352550" y="3495675"/>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381000</xdr:colOff>
      <xdr:row>4</xdr:row>
      <xdr:rowOff>0</xdr:rowOff>
    </xdr:from>
    <xdr:to>
      <xdr:col>6</xdr:col>
      <xdr:colOff>638175</xdr:colOff>
      <xdr:row>4</xdr:row>
      <xdr:rowOff>0</xdr:rowOff>
    </xdr:to>
    <xdr:sp>
      <xdr:nvSpPr>
        <xdr:cNvPr id="7" name="Line 1"/>
        <xdr:cNvSpPr>
          <a:spLocks/>
        </xdr:cNvSpPr>
      </xdr:nvSpPr>
      <xdr:spPr>
        <a:xfrm flipH="1" flipV="1">
          <a:off x="2600325" y="800100"/>
          <a:ext cx="2571750" cy="0"/>
        </a:xfrm>
        <a:prstGeom prst="line">
          <a:avLst/>
        </a:prstGeom>
        <a:noFill/>
        <a:ln w="2857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371475</xdr:colOff>
      <xdr:row>5</xdr:row>
      <xdr:rowOff>0</xdr:rowOff>
    </xdr:from>
    <xdr:to>
      <xdr:col>2</xdr:col>
      <xdr:colOff>447675</xdr:colOff>
      <xdr:row>21</xdr:row>
      <xdr:rowOff>66675</xdr:rowOff>
    </xdr:to>
    <xdr:grpSp>
      <xdr:nvGrpSpPr>
        <xdr:cNvPr id="8" name="Group 21"/>
        <xdr:cNvGrpSpPr>
          <a:grpSpLocks/>
        </xdr:cNvGrpSpPr>
      </xdr:nvGrpSpPr>
      <xdr:grpSpPr>
        <a:xfrm>
          <a:off x="371475" y="962025"/>
          <a:ext cx="1247775" cy="2686050"/>
          <a:chOff x="39" y="101"/>
          <a:chExt cx="131" cy="282"/>
        </a:xfrm>
        <a:solidFill>
          <a:srgbClr val="FFFFFF"/>
        </a:solidFill>
      </xdr:grpSpPr>
      <xdr:sp>
        <xdr:nvSpPr>
          <xdr:cNvPr id="9" name="Rectangle 3"/>
          <xdr:cNvSpPr>
            <a:spLocks/>
          </xdr:cNvSpPr>
        </xdr:nvSpPr>
        <xdr:spPr>
          <a:xfrm>
            <a:off x="39" y="101"/>
            <a:ext cx="131" cy="73"/>
          </a:xfrm>
          <a:prstGeom prst="rect">
            <a:avLst/>
          </a:prstGeom>
          <a:gradFill rotWithShape="1">
            <a:gsLst>
              <a:gs pos="0">
                <a:srgbClr val="FF0000"/>
              </a:gs>
              <a:gs pos="100000">
                <a:srgbClr val="660066"/>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Rectangle 4"/>
          <xdr:cNvSpPr>
            <a:spLocks/>
          </xdr:cNvSpPr>
        </xdr:nvSpPr>
        <xdr:spPr>
          <a:xfrm>
            <a:off x="39" y="174"/>
            <a:ext cx="131" cy="71"/>
          </a:xfrm>
          <a:prstGeom prst="rect">
            <a:avLst/>
          </a:prstGeom>
          <a:gradFill rotWithShape="1">
            <a:gsLst>
              <a:gs pos="0">
                <a:srgbClr val="FF9900"/>
              </a:gs>
              <a:gs pos="100000">
                <a:srgbClr val="FFFF00"/>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Rectangle 5"/>
          <xdr:cNvSpPr>
            <a:spLocks/>
          </xdr:cNvSpPr>
        </xdr:nvSpPr>
        <xdr:spPr>
          <a:xfrm>
            <a:off x="39" y="213"/>
            <a:ext cx="131" cy="75"/>
          </a:xfrm>
          <a:prstGeom prst="rect">
            <a:avLst/>
          </a:prstGeom>
          <a:gradFill rotWithShape="1">
            <a:gsLst>
              <a:gs pos="0">
                <a:srgbClr val="FFFF00"/>
              </a:gs>
              <a:gs pos="100000">
                <a:srgbClr val="00FF00"/>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Rectangle 6"/>
          <xdr:cNvSpPr>
            <a:spLocks/>
          </xdr:cNvSpPr>
        </xdr:nvSpPr>
        <xdr:spPr>
          <a:xfrm>
            <a:off x="39" y="276"/>
            <a:ext cx="131" cy="72"/>
          </a:xfrm>
          <a:prstGeom prst="rect">
            <a:avLst/>
          </a:prstGeom>
          <a:gradFill rotWithShape="1">
            <a:gsLst>
              <a:gs pos="0">
                <a:srgbClr val="00FF00"/>
              </a:gs>
              <a:gs pos="100000">
                <a:srgbClr val="0000FF"/>
              </a:gs>
            </a:gsLst>
            <a:lin ang="5400000" scaled="1"/>
          </a:gra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Rectangle 15"/>
          <xdr:cNvSpPr>
            <a:spLocks/>
          </xdr:cNvSpPr>
        </xdr:nvSpPr>
        <xdr:spPr>
          <a:xfrm>
            <a:off x="40" y="347"/>
            <a:ext cx="130" cy="36"/>
          </a:xfrm>
          <a:prstGeom prst="rect">
            <a:avLst/>
          </a:prstGeom>
          <a:solidFill>
            <a:srgbClr val="333333"/>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9</xdr:col>
      <xdr:colOff>381000</xdr:colOff>
      <xdr:row>23</xdr:row>
      <xdr:rowOff>38100</xdr:rowOff>
    </xdr:from>
    <xdr:to>
      <xdr:col>12</xdr:col>
      <xdr:colOff>19050</xdr:colOff>
      <xdr:row>26</xdr:row>
      <xdr:rowOff>114300</xdr:rowOff>
    </xdr:to>
    <xdr:grpSp>
      <xdr:nvGrpSpPr>
        <xdr:cNvPr id="14" name="Group 34"/>
        <xdr:cNvGrpSpPr>
          <a:grpSpLocks/>
        </xdr:cNvGrpSpPr>
      </xdr:nvGrpSpPr>
      <xdr:grpSpPr>
        <a:xfrm>
          <a:off x="8039100" y="3943350"/>
          <a:ext cx="1428750" cy="2133600"/>
          <a:chOff x="740" y="415"/>
          <a:chExt cx="152" cy="129"/>
        </a:xfrm>
        <a:solidFill>
          <a:srgbClr val="FFFFFF"/>
        </a:solidFill>
      </xdr:grpSpPr>
      <xdr:sp>
        <xdr:nvSpPr>
          <xdr:cNvPr id="15" name="Rectangle 24"/>
          <xdr:cNvSpPr>
            <a:spLocks/>
          </xdr:cNvSpPr>
        </xdr:nvSpPr>
        <xdr:spPr>
          <a:xfrm>
            <a:off x="740" y="446"/>
            <a:ext cx="76" cy="44"/>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Rectangle 25"/>
          <xdr:cNvSpPr>
            <a:spLocks/>
          </xdr:cNvSpPr>
        </xdr:nvSpPr>
        <xdr:spPr>
          <a:xfrm>
            <a:off x="816" y="446"/>
            <a:ext cx="76" cy="44"/>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angle 26"/>
          <xdr:cNvSpPr>
            <a:spLocks/>
          </xdr:cNvSpPr>
        </xdr:nvSpPr>
        <xdr:spPr>
          <a:xfrm>
            <a:off x="740" y="490"/>
            <a:ext cx="76" cy="44"/>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Rectangle 27"/>
          <xdr:cNvSpPr>
            <a:spLocks/>
          </xdr:cNvSpPr>
        </xdr:nvSpPr>
        <xdr:spPr>
          <a:xfrm>
            <a:off x="816" y="490"/>
            <a:ext cx="76" cy="44"/>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Line 28"/>
          <xdr:cNvSpPr>
            <a:spLocks/>
          </xdr:cNvSpPr>
        </xdr:nvSpPr>
        <xdr:spPr>
          <a:xfrm>
            <a:off x="816" y="432"/>
            <a:ext cx="0" cy="11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 Box 29"/>
          <xdr:cNvSpPr txBox="1">
            <a:spLocks noChangeArrowheads="1"/>
          </xdr:cNvSpPr>
        </xdr:nvSpPr>
        <xdr:spPr>
          <a:xfrm>
            <a:off x="807" y="415"/>
            <a:ext cx="20" cy="11"/>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Lot</a:t>
            </a:r>
          </a:p>
        </xdr:txBody>
      </xdr:sp>
      <xdr:sp>
        <xdr:nvSpPr>
          <xdr:cNvPr id="21" name="Line 30"/>
          <xdr:cNvSpPr>
            <a:spLocks/>
          </xdr:cNvSpPr>
        </xdr:nvSpPr>
        <xdr:spPr>
          <a:xfrm>
            <a:off x="747" y="457"/>
            <a:ext cx="68" cy="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Line 31"/>
          <xdr:cNvSpPr>
            <a:spLocks/>
          </xdr:cNvSpPr>
        </xdr:nvSpPr>
        <xdr:spPr>
          <a:xfrm>
            <a:off x="816" y="490"/>
            <a:ext cx="27" cy="4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 Box 32"/>
          <xdr:cNvSpPr txBox="1">
            <a:spLocks noChangeArrowheads="1"/>
          </xdr:cNvSpPr>
        </xdr:nvSpPr>
        <xdr:spPr>
          <a:xfrm>
            <a:off x="834" y="461"/>
            <a:ext cx="31" cy="11"/>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dünn</a:t>
            </a:r>
          </a:p>
        </xdr:txBody>
      </xdr:sp>
      <xdr:sp>
        <xdr:nvSpPr>
          <xdr:cNvPr id="24" name="Text Box 33"/>
          <xdr:cNvSpPr txBox="1">
            <a:spLocks noChangeArrowheads="1"/>
          </xdr:cNvSpPr>
        </xdr:nvSpPr>
        <xdr:spPr>
          <a:xfrm>
            <a:off x="843" y="499"/>
            <a:ext cx="31" cy="11"/>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dicht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38100</xdr:rowOff>
    </xdr:from>
    <xdr:to>
      <xdr:col>10</xdr:col>
      <xdr:colOff>733425</xdr:colOff>
      <xdr:row>27</xdr:row>
      <xdr:rowOff>28575</xdr:rowOff>
    </xdr:to>
    <xdr:graphicFrame>
      <xdr:nvGraphicFramePr>
        <xdr:cNvPr id="1" name="Chart 1"/>
        <xdr:cNvGraphicFramePr/>
      </xdr:nvGraphicFramePr>
      <xdr:xfrm>
        <a:off x="1562100" y="942975"/>
        <a:ext cx="6038850" cy="3714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huttle2.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huttle2.de/" TargetMode="Externa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huttle2.de/" TargetMode="Externa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huttle2.de/" TargetMode="Externa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14"/>
  <sheetViews>
    <sheetView showGridLines="0" showRowColHeaders="0" tabSelected="1" zoomScale="150" zoomScaleNormal="150" zoomScalePageLayoutView="0" workbookViewId="0" topLeftCell="A1">
      <selection activeCell="B7" sqref="B7:B8"/>
    </sheetView>
  </sheetViews>
  <sheetFormatPr defaultColWidth="11.421875" defaultRowHeight="12.75"/>
  <cols>
    <col min="1" max="1" width="9.7109375" style="0" customWidth="1"/>
    <col min="2" max="2" width="12.7109375" style="0" customWidth="1"/>
    <col min="3" max="3" width="9.7109375" style="0" customWidth="1"/>
    <col min="4" max="4" width="12.7109375" style="0" customWidth="1"/>
    <col min="5" max="5" width="9.7109375" style="0" customWidth="1"/>
    <col min="6" max="6" width="12.7109375" style="0" customWidth="1"/>
  </cols>
  <sheetData>
    <row r="1" ht="6" customHeight="1"/>
    <row r="2" spans="1:7" ht="30" customHeight="1">
      <c r="A2" s="244" t="s">
        <v>116</v>
      </c>
      <c r="B2" s="245"/>
      <c r="C2" s="245"/>
      <c r="D2" s="245"/>
      <c r="E2" s="245"/>
      <c r="F2" s="245"/>
      <c r="G2" s="245"/>
    </row>
    <row r="3" spans="1:7" ht="39.75" customHeight="1">
      <c r="A3" s="199"/>
      <c r="B3" s="371" t="s">
        <v>200</v>
      </c>
      <c r="C3" s="200"/>
      <c r="D3" s="200"/>
      <c r="E3" s="200"/>
      <c r="F3" s="200"/>
      <c r="G3" s="199"/>
    </row>
    <row r="4" spans="1:7" ht="12.75">
      <c r="A4" s="170"/>
      <c r="B4" s="554" t="s">
        <v>259</v>
      </c>
      <c r="C4" s="170"/>
      <c r="D4" s="554" t="s">
        <v>260</v>
      </c>
      <c r="E4" s="170"/>
      <c r="F4" s="555" t="s">
        <v>216</v>
      </c>
      <c r="G4" s="170"/>
    </row>
    <row r="5" spans="1:7" ht="12.75">
      <c r="A5" s="170"/>
      <c r="B5" s="554"/>
      <c r="C5" s="170"/>
      <c r="D5" s="554"/>
      <c r="E5" s="170"/>
      <c r="F5" s="555"/>
      <c r="G5" s="170"/>
    </row>
    <row r="6" spans="1:7" ht="12.75">
      <c r="A6" s="170"/>
      <c r="B6" s="170"/>
      <c r="C6" s="170"/>
      <c r="D6" s="170"/>
      <c r="E6" s="170"/>
      <c r="F6" s="170"/>
      <c r="G6" s="201"/>
    </row>
    <row r="7" spans="1:7" ht="12.75">
      <c r="A7" s="170"/>
      <c r="B7" s="554" t="s">
        <v>115</v>
      </c>
      <c r="C7" s="170"/>
      <c r="D7" s="554" t="s">
        <v>320</v>
      </c>
      <c r="E7" s="170"/>
      <c r="F7" s="554" t="s">
        <v>182</v>
      </c>
      <c r="G7" s="170"/>
    </row>
    <row r="8" spans="1:7" ht="12.75">
      <c r="A8" s="170"/>
      <c r="B8" s="554"/>
      <c r="C8" s="170"/>
      <c r="D8" s="554"/>
      <c r="E8" s="170"/>
      <c r="F8" s="554"/>
      <c r="G8" s="170"/>
    </row>
    <row r="9" spans="1:7" ht="12.75">
      <c r="A9" s="170"/>
      <c r="B9" s="170"/>
      <c r="C9" s="170"/>
      <c r="D9" s="170"/>
      <c r="E9" s="170"/>
      <c r="F9" s="170"/>
      <c r="G9" s="246"/>
    </row>
    <row r="10" spans="1:7" ht="12.75">
      <c r="A10" s="170"/>
      <c r="B10" s="554" t="s">
        <v>180</v>
      </c>
      <c r="C10" s="170"/>
      <c r="D10" s="554" t="s">
        <v>199</v>
      </c>
      <c r="E10" s="170"/>
      <c r="F10" s="554" t="s">
        <v>258</v>
      </c>
      <c r="G10" s="246"/>
    </row>
    <row r="11" spans="1:7" ht="12.75">
      <c r="A11" s="170"/>
      <c r="B11" s="554"/>
      <c r="C11" s="170"/>
      <c r="D11" s="554"/>
      <c r="E11" s="170"/>
      <c r="F11" s="554"/>
      <c r="G11" s="246"/>
    </row>
    <row r="12" spans="1:7" ht="12.75">
      <c r="A12" s="170"/>
      <c r="B12" s="170"/>
      <c r="C12" s="170"/>
      <c r="D12" s="170"/>
      <c r="E12" s="170"/>
      <c r="F12" s="170"/>
      <c r="G12" s="246"/>
    </row>
    <row r="13" spans="1:7" ht="19.5" customHeight="1">
      <c r="A13" s="170"/>
      <c r="B13" s="170"/>
      <c r="C13" s="170"/>
      <c r="D13" s="170"/>
      <c r="E13" s="170"/>
      <c r="F13" s="170"/>
      <c r="G13" s="246" t="s">
        <v>151</v>
      </c>
    </row>
    <row r="14" spans="1:7" ht="12.75">
      <c r="A14" s="170"/>
      <c r="B14" s="170"/>
      <c r="C14" s="170"/>
      <c r="D14" s="170"/>
      <c r="E14" s="170"/>
      <c r="F14" s="170"/>
      <c r="G14" s="246"/>
    </row>
  </sheetData>
  <sheetProtection/>
  <mergeCells count="9">
    <mergeCell ref="D7:D8"/>
    <mergeCell ref="B4:B5"/>
    <mergeCell ref="B7:B8"/>
    <mergeCell ref="F4:F5"/>
    <mergeCell ref="B10:B11"/>
    <mergeCell ref="F7:F8"/>
    <mergeCell ref="D10:D11"/>
    <mergeCell ref="F10:F11"/>
    <mergeCell ref="D4:D5"/>
  </mergeCells>
  <hyperlinks>
    <hyperlink ref="B4:B5" location="Luftverbrauch!A1" tooltip=" " display="AMV &amp; Co"/>
    <hyperlink ref="B7:B8" location="'Drücke und Nitrox'!A1" tooltip=" " display="Druck &amp; Nitrox"/>
    <hyperlink ref="F4:F5" location="Archimedes!A1" tooltip="Reichweiten" display="Reichweiten"/>
    <hyperlink ref="G13" r:id="rId1" display="©Hans.Schach http://www.shuttle2.de"/>
    <hyperlink ref="B10:B11" location="'TG-Planung'!A1" tooltip="Tauchprofil" display="TG-Planung"/>
    <hyperlink ref="F7:F8" location="Überströmrechner!A1" tooltip="Tauchprofil" display="Überström-rechner"/>
    <hyperlink ref="D10:D11" location="Schall!A1" tooltip="Tauchprofil" display="Schall"/>
    <hyperlink ref="F10:F11" location="'Licht und Farben'!A1" tooltip="Tauchprofil" display="Licht &amp; Farben"/>
    <hyperlink ref="D4:D5" location="'Gay Lussac'!A1" tooltip="Tauchprofil" display="Gay Lussac"/>
    <hyperlink ref="D7:D8" location="Partialdruckmethode!A1" tooltip=" " display="Nitrox: Partialdruck-methode"/>
  </hyperlinks>
  <printOptions/>
  <pageMargins left="0.787401575" right="0.787401575" top="0.984251969" bottom="0.984251969" header="0.4921259845" footer="0.4921259845"/>
  <pageSetup horizontalDpi="300" verticalDpi="300" orientation="portrait" paperSize="9"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L31"/>
  <sheetViews>
    <sheetView showGridLines="0" showRowColHeaders="0" zoomScalePageLayoutView="0" workbookViewId="0" topLeftCell="A1">
      <pane xSplit="1" ySplit="4" topLeftCell="B20" activePane="bottomRight" state="frozen"/>
      <selection pane="topLeft" activeCell="A1" sqref="A1"/>
      <selection pane="topRight" activeCell="B1" sqref="B1"/>
      <selection pane="bottomLeft" activeCell="A6" sqref="A6"/>
      <selection pane="bottomRight" activeCell="K31" sqref="K31"/>
    </sheetView>
  </sheetViews>
  <sheetFormatPr defaultColWidth="11.421875" defaultRowHeight="12.75"/>
  <cols>
    <col min="1" max="1" width="5.7109375" style="0" customWidth="1"/>
    <col min="2" max="2" width="11.8515625" style="0" customWidth="1"/>
    <col min="3" max="3" width="15.7109375" style="0" bestFit="1" customWidth="1"/>
    <col min="4" max="4" width="5.7109375" style="0" customWidth="1"/>
    <col min="5" max="5" width="15.7109375" style="0" customWidth="1"/>
    <col min="6" max="6" width="13.28125" style="0" bestFit="1" customWidth="1"/>
    <col min="7" max="7" width="16.7109375" style="0" customWidth="1"/>
    <col min="8" max="8" width="24.421875" style="0" bestFit="1" customWidth="1"/>
    <col min="9" max="9" width="5.7109375" style="0" customWidth="1"/>
    <col min="10" max="10" width="12.7109375" style="0" customWidth="1"/>
    <col min="12" max="12" width="2.7109375" style="0" customWidth="1"/>
  </cols>
  <sheetData>
    <row r="1" spans="1:12" ht="24.75" customHeight="1">
      <c r="A1" s="299" t="s">
        <v>117</v>
      </c>
      <c r="B1" s="130" t="s">
        <v>207</v>
      </c>
      <c r="C1" s="27"/>
      <c r="D1" s="27"/>
      <c r="E1" s="27"/>
      <c r="F1" s="27"/>
      <c r="G1" s="27"/>
      <c r="H1" s="27"/>
      <c r="I1" s="350"/>
      <c r="J1" s="350"/>
      <c r="K1" s="350"/>
      <c r="L1" s="350" t="s">
        <v>195</v>
      </c>
    </row>
    <row r="2" spans="2:12" ht="12.75">
      <c r="B2" s="131" t="s">
        <v>208</v>
      </c>
      <c r="C2" s="27"/>
      <c r="D2" s="27"/>
      <c r="E2" s="27"/>
      <c r="F2" s="27"/>
      <c r="G2" s="27"/>
      <c r="H2" s="27"/>
      <c r="I2" s="132"/>
      <c r="J2" s="132"/>
      <c r="K2" s="132"/>
      <c r="L2" s="132" t="s">
        <v>101</v>
      </c>
    </row>
    <row r="3" spans="4:8" ht="12.75">
      <c r="D3" s="3"/>
      <c r="F3" s="3"/>
      <c r="G3" s="3"/>
      <c r="H3" s="3"/>
    </row>
    <row r="4" spans="1:12" ht="12.75">
      <c r="A4" s="54"/>
      <c r="B4" s="19" t="s">
        <v>217</v>
      </c>
      <c r="C4" s="20"/>
      <c r="D4" s="20"/>
      <c r="E4" s="20"/>
      <c r="F4" s="20"/>
      <c r="G4" s="20"/>
      <c r="H4" s="20"/>
      <c r="I4" s="20"/>
      <c r="J4" s="20"/>
      <c r="K4" s="20"/>
      <c r="L4" s="20"/>
    </row>
    <row r="6" ht="12.75">
      <c r="D6" s="1" t="s">
        <v>249</v>
      </c>
    </row>
    <row r="7" ht="12.75">
      <c r="D7" s="1" t="s">
        <v>250</v>
      </c>
    </row>
    <row r="8" ht="12.75">
      <c r="D8" s="441" t="s">
        <v>252</v>
      </c>
    </row>
    <row r="10" spans="2:4" ht="15">
      <c r="B10" s="387"/>
      <c r="D10" s="439" t="s">
        <v>254</v>
      </c>
    </row>
    <row r="11" spans="2:5" ht="12.75">
      <c r="B11" s="388"/>
      <c r="E11" s="389"/>
    </row>
    <row r="12" spans="2:4" ht="12.75">
      <c r="B12" s="388"/>
      <c r="D12" s="440" t="s">
        <v>255</v>
      </c>
    </row>
    <row r="14" ht="12.75">
      <c r="D14" s="439" t="s">
        <v>256</v>
      </c>
    </row>
    <row r="16" ht="12.75">
      <c r="D16" s="440" t="s">
        <v>257</v>
      </c>
    </row>
    <row r="18" ht="12.75">
      <c r="D18" s="439" t="s">
        <v>253</v>
      </c>
    </row>
    <row r="21" ht="12.75">
      <c r="D21" s="439" t="s">
        <v>251</v>
      </c>
    </row>
    <row r="23" spans="2:12" ht="12.75">
      <c r="B23" s="19" t="s">
        <v>277</v>
      </c>
      <c r="C23" s="202"/>
      <c r="D23" s="202"/>
      <c r="E23" s="202"/>
      <c r="F23" s="202"/>
      <c r="G23" s="202"/>
      <c r="H23" s="202"/>
      <c r="I23" s="202"/>
      <c r="J23" s="202"/>
      <c r="K23" s="202"/>
      <c r="L23" s="202"/>
    </row>
    <row r="25" spans="2:11" ht="109.5" customHeight="1">
      <c r="B25" s="572" t="s">
        <v>0</v>
      </c>
      <c r="C25" s="573"/>
      <c r="D25" s="573"/>
      <c r="E25" s="573"/>
      <c r="F25" s="573"/>
      <c r="G25" s="573"/>
      <c r="H25" s="573"/>
      <c r="I25" s="573"/>
      <c r="J25" s="54"/>
      <c r="K25" s="54"/>
    </row>
    <row r="26" spans="2:11" ht="39.75" customHeight="1">
      <c r="B26" s="573" t="s">
        <v>1</v>
      </c>
      <c r="C26" s="573"/>
      <c r="D26" s="573"/>
      <c r="E26" s="573"/>
      <c r="F26" s="573"/>
      <c r="G26" s="573"/>
      <c r="H26" s="573"/>
      <c r="I26" s="573"/>
      <c r="J26" s="54"/>
      <c r="K26" s="54"/>
    </row>
    <row r="27" spans="2:9" ht="12.75" customHeight="1">
      <c r="B27" s="449"/>
      <c r="C27" s="449"/>
      <c r="D27" s="449"/>
      <c r="E27" s="449"/>
      <c r="F27" s="449"/>
      <c r="G27" s="449"/>
      <c r="H27" s="449"/>
      <c r="I27" s="449"/>
    </row>
    <row r="28" spans="2:9" ht="12.75" customHeight="1">
      <c r="B28" s="449"/>
      <c r="C28" s="449"/>
      <c r="D28" s="449"/>
      <c r="E28" s="449"/>
      <c r="F28" s="449"/>
      <c r="G28" s="449"/>
      <c r="H28" s="449"/>
      <c r="I28" s="449"/>
    </row>
    <row r="29" spans="2:12" ht="12.75">
      <c r="B29" s="202"/>
      <c r="C29" s="202"/>
      <c r="D29" s="202"/>
      <c r="E29" s="202"/>
      <c r="F29" s="202"/>
      <c r="G29" s="202"/>
      <c r="H29" s="202"/>
      <c r="I29" s="202"/>
      <c r="J29" s="202"/>
      <c r="K29" s="202"/>
      <c r="L29" s="202"/>
    </row>
    <row r="31" ht="12.75">
      <c r="K31" s="299" t="s">
        <v>117</v>
      </c>
    </row>
  </sheetData>
  <sheetProtection/>
  <mergeCells count="2">
    <mergeCell ref="B25:I25"/>
    <mergeCell ref="B26:I26"/>
  </mergeCells>
  <hyperlinks>
    <hyperlink ref="A1" location="Cockpit!B4" tooltip="Home" display="Home"/>
    <hyperlink ref="L1" r:id="rId1" display="http://www.shuttle2.de"/>
    <hyperlink ref="K31" location="Cockpit!B4" tooltip="Home" display="Home"/>
  </hyperlinks>
  <printOptions/>
  <pageMargins left="0.23" right="0.13" top="0.54" bottom="0.69" header="0.32" footer="0.49"/>
  <pageSetup fitToHeight="1" fitToWidth="1" horizontalDpi="300" verticalDpi="300" orientation="landscape" paperSize="9" r:id="rId3"/>
  <drawing r:id="rId2"/>
</worksheet>
</file>

<file path=xl/worksheets/sheet11.xml><?xml version="1.0" encoding="utf-8"?>
<worksheet xmlns="http://schemas.openxmlformats.org/spreadsheetml/2006/main" xmlns:r="http://schemas.openxmlformats.org/officeDocument/2006/relationships">
  <dimension ref="A1:L63"/>
  <sheetViews>
    <sheetView showGridLines="0" showRowColHeaders="0" zoomScalePageLayoutView="0" workbookViewId="0" topLeftCell="A1">
      <pane ySplit="3" topLeftCell="A4" activePane="bottomLeft" state="frozen"/>
      <selection pane="topLeft" activeCell="A1" sqref="A1"/>
      <selection pane="bottomLeft" activeCell="B1" sqref="B1"/>
    </sheetView>
  </sheetViews>
  <sheetFormatPr defaultColWidth="11.421875" defaultRowHeight="12.75"/>
  <cols>
    <col min="1" max="1" width="9.140625" style="0" customWidth="1"/>
    <col min="3" max="3" width="2.421875" style="0" customWidth="1"/>
    <col min="12" max="12" width="2.421875" style="0" customWidth="1"/>
  </cols>
  <sheetData>
    <row r="1" spans="1:12" ht="24.75" customHeight="1">
      <c r="A1" s="299" t="s">
        <v>117</v>
      </c>
      <c r="B1" s="171"/>
      <c r="C1" s="171"/>
      <c r="D1" s="171"/>
      <c r="E1" s="171"/>
      <c r="F1" s="171"/>
      <c r="G1" s="171"/>
      <c r="H1" s="171"/>
      <c r="I1" s="171"/>
      <c r="J1" s="171"/>
      <c r="K1" s="171"/>
      <c r="L1" s="171"/>
    </row>
    <row r="2" spans="1:12" ht="17.25" customHeight="1">
      <c r="A2" s="195" t="s">
        <v>121</v>
      </c>
      <c r="B2" s="195"/>
      <c r="C2" s="195"/>
      <c r="D2" s="195"/>
      <c r="E2" s="195"/>
      <c r="F2" s="195"/>
      <c r="G2" s="195"/>
      <c r="H2" s="195"/>
      <c r="I2" s="195"/>
      <c r="J2" s="195"/>
      <c r="K2" s="195"/>
      <c r="L2" s="195"/>
    </row>
    <row r="3" spans="1:12" ht="16.5" customHeight="1">
      <c r="A3" s="208" t="s">
        <v>119</v>
      </c>
      <c r="B3" s="208" t="s">
        <v>24</v>
      </c>
      <c r="C3" s="205"/>
      <c r="D3" s="206" t="s">
        <v>118</v>
      </c>
      <c r="E3" s="206"/>
      <c r="F3" s="206"/>
      <c r="G3" s="206"/>
      <c r="H3" s="206"/>
      <c r="I3" s="206"/>
      <c r="J3" s="206"/>
      <c r="K3" s="206"/>
      <c r="L3" s="205"/>
    </row>
    <row r="4" spans="1:12" ht="12.75">
      <c r="A4" s="171">
        <v>1</v>
      </c>
      <c r="B4" s="203">
        <v>-5</v>
      </c>
      <c r="C4" s="202"/>
      <c r="D4" s="204" t="s">
        <v>120</v>
      </c>
      <c r="E4" s="204"/>
      <c r="F4" s="204"/>
      <c r="G4" s="204"/>
      <c r="H4" s="204"/>
      <c r="I4" s="204"/>
      <c r="J4" s="204"/>
      <c r="K4" s="204"/>
      <c r="L4" s="202"/>
    </row>
    <row r="5" spans="1:12" ht="12.75">
      <c r="A5" s="171">
        <v>2</v>
      </c>
      <c r="B5" s="203">
        <v>-10</v>
      </c>
      <c r="C5" s="202"/>
      <c r="D5" s="202"/>
      <c r="E5" s="202"/>
      <c r="F5" s="202"/>
      <c r="G5" s="202"/>
      <c r="H5" s="202"/>
      <c r="I5" s="202"/>
      <c r="J5" s="202"/>
      <c r="K5" s="202"/>
      <c r="L5" s="202"/>
    </row>
    <row r="6" spans="1:12" ht="12.75">
      <c r="A6" s="171">
        <v>3</v>
      </c>
      <c r="B6" s="203">
        <v>-15</v>
      </c>
      <c r="C6" s="202"/>
      <c r="D6" s="202"/>
      <c r="E6" s="202"/>
      <c r="F6" s="202"/>
      <c r="G6" s="202"/>
      <c r="H6" s="202"/>
      <c r="I6" s="202"/>
      <c r="J6" s="202"/>
      <c r="K6" s="202"/>
      <c r="L6" s="202"/>
    </row>
    <row r="7" spans="1:12" ht="12.75">
      <c r="A7" s="171">
        <v>4</v>
      </c>
      <c r="B7" s="203">
        <v>-20</v>
      </c>
      <c r="C7" s="202"/>
      <c r="D7" s="202"/>
      <c r="E7" s="202"/>
      <c r="F7" s="202"/>
      <c r="G7" s="202"/>
      <c r="H7" s="202"/>
      <c r="I7" s="202"/>
      <c r="J7" s="202"/>
      <c r="K7" s="202"/>
      <c r="L7" s="202"/>
    </row>
    <row r="8" spans="1:12" ht="12.75">
      <c r="A8" s="171">
        <v>5</v>
      </c>
      <c r="B8" s="203">
        <v>-25</v>
      </c>
      <c r="C8" s="202"/>
      <c r="D8" s="202"/>
      <c r="E8" s="202"/>
      <c r="F8" s="202"/>
      <c r="G8" s="202"/>
      <c r="H8" s="202"/>
      <c r="I8" s="202"/>
      <c r="J8" s="202"/>
      <c r="K8" s="202"/>
      <c r="L8" s="202"/>
    </row>
    <row r="9" spans="1:12" ht="12.75">
      <c r="A9" s="171">
        <v>6</v>
      </c>
      <c r="B9" s="203">
        <v>-30</v>
      </c>
      <c r="C9" s="202"/>
      <c r="D9" s="202"/>
      <c r="E9" s="202"/>
      <c r="F9" s="202"/>
      <c r="G9" s="202"/>
      <c r="H9" s="202"/>
      <c r="I9" s="202"/>
      <c r="J9" s="202"/>
      <c r="K9" s="202"/>
      <c r="L9" s="202"/>
    </row>
    <row r="10" spans="1:12" ht="12.75">
      <c r="A10" s="171">
        <v>7</v>
      </c>
      <c r="B10" s="203">
        <v>-35</v>
      </c>
      <c r="C10" s="202"/>
      <c r="D10" s="202"/>
      <c r="E10" s="202"/>
      <c r="F10" s="202"/>
      <c r="G10" s="202"/>
      <c r="H10" s="202"/>
      <c r="I10" s="202"/>
      <c r="J10" s="202"/>
      <c r="K10" s="202"/>
      <c r="L10" s="202"/>
    </row>
    <row r="11" spans="1:12" ht="12.75">
      <c r="A11" s="171">
        <v>8</v>
      </c>
      <c r="B11" s="203">
        <v>-40</v>
      </c>
      <c r="C11" s="202"/>
      <c r="D11" s="202"/>
      <c r="E11" s="202"/>
      <c r="F11" s="202"/>
      <c r="G11" s="202"/>
      <c r="H11" s="202"/>
      <c r="I11" s="202"/>
      <c r="J11" s="202"/>
      <c r="K11" s="202"/>
      <c r="L11" s="202"/>
    </row>
    <row r="12" spans="1:12" ht="12.75">
      <c r="A12" s="171">
        <v>9</v>
      </c>
      <c r="B12" s="203">
        <v>-41</v>
      </c>
      <c r="C12" s="202"/>
      <c r="D12" s="202"/>
      <c r="E12" s="202"/>
      <c r="F12" s="202"/>
      <c r="G12" s="202"/>
      <c r="H12" s="202"/>
      <c r="I12" s="202"/>
      <c r="J12" s="202"/>
      <c r="K12" s="202"/>
      <c r="L12" s="202"/>
    </row>
    <row r="13" spans="1:12" ht="12.75">
      <c r="A13" s="171">
        <v>10</v>
      </c>
      <c r="B13" s="203">
        <v>-40</v>
      </c>
      <c r="C13" s="202"/>
      <c r="D13" s="202"/>
      <c r="E13" s="202"/>
      <c r="F13" s="202"/>
      <c r="G13" s="202"/>
      <c r="H13" s="202"/>
      <c r="I13" s="202"/>
      <c r="J13" s="202"/>
      <c r="K13" s="202"/>
      <c r="L13" s="202"/>
    </row>
    <row r="14" spans="1:12" ht="12.75">
      <c r="A14" s="171">
        <v>11</v>
      </c>
      <c r="B14" s="203">
        <v>-40.5</v>
      </c>
      <c r="C14" s="202"/>
      <c r="D14" s="202"/>
      <c r="E14" s="202"/>
      <c r="F14" s="202"/>
      <c r="G14" s="202"/>
      <c r="H14" s="202"/>
      <c r="I14" s="202"/>
      <c r="J14" s="202"/>
      <c r="K14" s="202"/>
      <c r="L14" s="202"/>
    </row>
    <row r="15" spans="1:12" ht="12.75">
      <c r="A15" s="171">
        <v>12</v>
      </c>
      <c r="B15" s="203">
        <v>-40</v>
      </c>
      <c r="C15" s="202"/>
      <c r="D15" s="202"/>
      <c r="E15" s="202"/>
      <c r="F15" s="202"/>
      <c r="G15" s="202"/>
      <c r="H15" s="202"/>
      <c r="I15" s="202"/>
      <c r="J15" s="202"/>
      <c r="K15" s="202"/>
      <c r="L15" s="202"/>
    </row>
    <row r="16" spans="1:12" ht="12.75">
      <c r="A16" s="171">
        <v>13</v>
      </c>
      <c r="B16" s="203">
        <v>-39.5</v>
      </c>
      <c r="C16" s="202"/>
      <c r="D16" s="202"/>
      <c r="E16" s="202"/>
      <c r="F16" s="202"/>
      <c r="G16" s="202"/>
      <c r="H16" s="202"/>
      <c r="I16" s="202"/>
      <c r="J16" s="202"/>
      <c r="K16" s="202"/>
      <c r="L16" s="202"/>
    </row>
    <row r="17" spans="1:12" ht="12.75">
      <c r="A17" s="171">
        <v>14</v>
      </c>
      <c r="B17" s="203">
        <v>-35</v>
      </c>
      <c r="C17" s="202"/>
      <c r="D17" s="202"/>
      <c r="E17" s="202"/>
      <c r="F17" s="202"/>
      <c r="G17" s="202"/>
      <c r="H17" s="202"/>
      <c r="I17" s="202"/>
      <c r="J17" s="202"/>
      <c r="K17" s="202"/>
      <c r="L17" s="202"/>
    </row>
    <row r="18" spans="1:12" ht="12.75">
      <c r="A18" s="171">
        <v>15</v>
      </c>
      <c r="B18" s="203">
        <v>-32</v>
      </c>
      <c r="C18" s="202"/>
      <c r="D18" s="202"/>
      <c r="E18" s="202"/>
      <c r="F18" s="202"/>
      <c r="G18" s="202"/>
      <c r="H18" s="202"/>
      <c r="I18" s="202"/>
      <c r="J18" s="202"/>
      <c r="K18" s="202"/>
      <c r="L18" s="202"/>
    </row>
    <row r="19" spans="1:12" ht="12.75">
      <c r="A19" s="171">
        <v>16</v>
      </c>
      <c r="B19" s="203">
        <v>-30</v>
      </c>
      <c r="C19" s="202"/>
      <c r="D19" s="202"/>
      <c r="E19" s="202"/>
      <c r="F19" s="202"/>
      <c r="G19" s="202"/>
      <c r="H19" s="202"/>
      <c r="I19" s="202"/>
      <c r="J19" s="202"/>
      <c r="K19" s="202"/>
      <c r="L19" s="202"/>
    </row>
    <row r="20" spans="1:12" ht="12.75">
      <c r="A20" s="171">
        <v>17</v>
      </c>
      <c r="B20" s="203">
        <v>-28</v>
      </c>
      <c r="C20" s="202"/>
      <c r="D20" s="202"/>
      <c r="E20" s="202"/>
      <c r="F20" s="202"/>
      <c r="G20" s="202"/>
      <c r="H20" s="202"/>
      <c r="I20" s="202"/>
      <c r="J20" s="202"/>
      <c r="K20" s="202"/>
      <c r="L20" s="202"/>
    </row>
    <row r="21" spans="1:12" ht="12.75">
      <c r="A21" s="171">
        <v>18</v>
      </c>
      <c r="B21" s="203">
        <v>-25</v>
      </c>
      <c r="C21" s="202"/>
      <c r="D21" s="202"/>
      <c r="E21" s="202"/>
      <c r="F21" s="202"/>
      <c r="G21" s="202"/>
      <c r="H21" s="202"/>
      <c r="I21" s="202"/>
      <c r="J21" s="202"/>
      <c r="K21" s="202"/>
      <c r="L21" s="202"/>
    </row>
    <row r="22" spans="1:12" ht="12.75">
      <c r="A22" s="171">
        <v>19</v>
      </c>
      <c r="B22" s="203">
        <v>-24</v>
      </c>
      <c r="C22" s="202"/>
      <c r="D22" s="202"/>
      <c r="E22" s="202"/>
      <c r="F22" s="202"/>
      <c r="G22" s="202"/>
      <c r="H22" s="202"/>
      <c r="I22" s="202"/>
      <c r="J22" s="202"/>
      <c r="K22" s="202"/>
      <c r="L22" s="202"/>
    </row>
    <row r="23" spans="1:12" ht="12.75">
      <c r="A23" s="171">
        <v>20</v>
      </c>
      <c r="B23" s="203">
        <v>-24</v>
      </c>
      <c r="C23" s="202"/>
      <c r="D23" s="202"/>
      <c r="E23" s="202"/>
      <c r="F23" s="202"/>
      <c r="G23" s="202"/>
      <c r="H23" s="202"/>
      <c r="I23" s="202"/>
      <c r="J23" s="202"/>
      <c r="K23" s="202"/>
      <c r="L23" s="202"/>
    </row>
    <row r="24" spans="1:12" ht="12.75">
      <c r="A24" s="171">
        <v>21</v>
      </c>
      <c r="B24" s="203">
        <v>-24.5</v>
      </c>
      <c r="C24" s="202"/>
      <c r="D24" s="202"/>
      <c r="E24" s="202"/>
      <c r="F24" s="202"/>
      <c r="G24" s="202"/>
      <c r="H24" s="202"/>
      <c r="I24" s="202"/>
      <c r="J24" s="202"/>
      <c r="K24" s="202"/>
      <c r="L24" s="202"/>
    </row>
    <row r="25" spans="1:12" ht="12.75">
      <c r="A25" s="171">
        <v>22</v>
      </c>
      <c r="B25" s="203">
        <v>-25</v>
      </c>
      <c r="C25" s="202"/>
      <c r="D25" s="202"/>
      <c r="E25" s="202"/>
      <c r="F25" s="202"/>
      <c r="G25" s="202"/>
      <c r="H25" s="202"/>
      <c r="I25" s="202"/>
      <c r="J25" s="202"/>
      <c r="K25" s="202"/>
      <c r="L25" s="202"/>
    </row>
    <row r="26" spans="1:12" ht="12.75">
      <c r="A26" s="171">
        <v>23</v>
      </c>
      <c r="B26" s="203">
        <v>-25.3</v>
      </c>
      <c r="C26" s="202"/>
      <c r="D26" s="202"/>
      <c r="E26" s="202"/>
      <c r="F26" s="202"/>
      <c r="G26" s="202"/>
      <c r="H26" s="202"/>
      <c r="I26" s="202"/>
      <c r="J26" s="202"/>
      <c r="K26" s="202"/>
      <c r="L26" s="202"/>
    </row>
    <row r="27" spans="1:12" ht="12.75">
      <c r="A27" s="171">
        <v>24</v>
      </c>
      <c r="B27" s="203">
        <v>-24.3</v>
      </c>
      <c r="C27" s="202"/>
      <c r="D27" s="202"/>
      <c r="E27" s="202"/>
      <c r="F27" s="202"/>
      <c r="G27" s="202"/>
      <c r="H27" s="202"/>
      <c r="I27" s="202"/>
      <c r="J27" s="202"/>
      <c r="K27" s="202"/>
      <c r="L27" s="202"/>
    </row>
    <row r="28" spans="1:12" ht="12.75">
      <c r="A28" s="171">
        <v>25</v>
      </c>
      <c r="B28" s="203">
        <v>-24</v>
      </c>
      <c r="C28" s="202"/>
      <c r="D28" s="202"/>
      <c r="E28" s="202"/>
      <c r="F28" s="202"/>
      <c r="G28" s="202"/>
      <c r="H28" s="202"/>
      <c r="I28" s="202"/>
      <c r="J28" s="202"/>
      <c r="K28" s="202"/>
      <c r="L28" s="202"/>
    </row>
    <row r="29" spans="1:12" ht="12.75">
      <c r="A29" s="171">
        <v>26</v>
      </c>
      <c r="B29" s="203">
        <v>-23.8</v>
      </c>
      <c r="C29" s="27"/>
      <c r="D29" s="27"/>
      <c r="E29" s="27"/>
      <c r="F29" s="27"/>
      <c r="G29" s="27"/>
      <c r="H29" s="27"/>
      <c r="I29" s="27"/>
      <c r="J29" s="27"/>
      <c r="K29" s="27"/>
      <c r="L29" s="27"/>
    </row>
    <row r="30" spans="1:12" ht="12.75">
      <c r="A30" s="171">
        <v>27</v>
      </c>
      <c r="B30" s="203">
        <v>-24</v>
      </c>
      <c r="C30" s="27"/>
      <c r="D30" s="27"/>
      <c r="E30" s="27"/>
      <c r="F30" s="27"/>
      <c r="G30" s="27"/>
      <c r="H30" s="27"/>
      <c r="I30" s="27"/>
      <c r="J30" s="27"/>
      <c r="K30" s="299" t="s">
        <v>117</v>
      </c>
      <c r="L30" s="27"/>
    </row>
    <row r="31" spans="1:12" ht="12.75">
      <c r="A31" s="171">
        <v>28</v>
      </c>
      <c r="B31" s="203">
        <v>-24</v>
      </c>
      <c r="C31" s="27"/>
      <c r="D31" s="27"/>
      <c r="E31" s="27"/>
      <c r="F31" s="27"/>
      <c r="G31" s="27"/>
      <c r="H31" s="27"/>
      <c r="I31" s="27"/>
      <c r="J31" s="27"/>
      <c r="K31" s="27"/>
      <c r="L31" s="27"/>
    </row>
    <row r="32" spans="1:12" ht="12.75">
      <c r="A32" s="171">
        <v>29</v>
      </c>
      <c r="B32" s="203">
        <v>-23.7</v>
      </c>
      <c r="C32" s="27"/>
      <c r="D32" s="27"/>
      <c r="E32" s="27"/>
      <c r="F32" s="27"/>
      <c r="G32" s="27"/>
      <c r="H32" s="27"/>
      <c r="I32" s="27"/>
      <c r="J32" s="27"/>
      <c r="K32" s="27"/>
      <c r="L32" s="27"/>
    </row>
    <row r="33" spans="1:12" ht="12.75">
      <c r="A33" s="171">
        <v>30</v>
      </c>
      <c r="B33" s="203">
        <v>-20</v>
      </c>
      <c r="C33" s="27"/>
      <c r="D33" s="27"/>
      <c r="E33" s="27"/>
      <c r="F33" s="27"/>
      <c r="G33" s="27"/>
      <c r="H33" s="27"/>
      <c r="I33" s="27"/>
      <c r="J33" s="27"/>
      <c r="K33" s="27"/>
      <c r="L33" s="27"/>
    </row>
    <row r="34" spans="1:12" ht="12.75">
      <c r="A34" s="171">
        <v>31</v>
      </c>
      <c r="B34" s="203">
        <v>-18</v>
      </c>
      <c r="C34" s="27"/>
      <c r="D34" s="27"/>
      <c r="E34" s="27"/>
      <c r="F34" s="27"/>
      <c r="G34" s="27"/>
      <c r="H34" s="27"/>
      <c r="I34" s="27"/>
      <c r="J34" s="27"/>
      <c r="K34" s="27"/>
      <c r="L34" s="27"/>
    </row>
    <row r="35" spans="1:12" ht="12.75">
      <c r="A35" s="171">
        <v>32</v>
      </c>
      <c r="B35" s="203">
        <v>-18.5</v>
      </c>
      <c r="C35" s="27"/>
      <c r="D35" s="27"/>
      <c r="E35" s="27"/>
      <c r="F35" s="27"/>
      <c r="G35" s="27"/>
      <c r="H35" s="27"/>
      <c r="I35" s="27"/>
      <c r="J35" s="27"/>
      <c r="K35" s="27"/>
      <c r="L35" s="27"/>
    </row>
    <row r="36" spans="1:12" ht="12.75">
      <c r="A36" s="171">
        <v>33</v>
      </c>
      <c r="B36" s="203">
        <v>-18.3</v>
      </c>
      <c r="C36" s="27"/>
      <c r="D36" s="27"/>
      <c r="E36" s="27"/>
      <c r="F36" s="27"/>
      <c r="G36" s="27"/>
      <c r="H36" s="27"/>
      <c r="I36" s="27"/>
      <c r="J36" s="27"/>
      <c r="K36" s="27"/>
      <c r="L36" s="27"/>
    </row>
    <row r="37" spans="1:12" ht="12.75">
      <c r="A37" s="171">
        <v>34</v>
      </c>
      <c r="B37" s="203">
        <v>-18.2</v>
      </c>
      <c r="C37" s="27"/>
      <c r="D37" s="27"/>
      <c r="E37" s="27"/>
      <c r="F37" s="27"/>
      <c r="G37" s="27"/>
      <c r="H37" s="27"/>
      <c r="I37" s="27"/>
      <c r="J37" s="27"/>
      <c r="K37" s="27"/>
      <c r="L37" s="27"/>
    </row>
    <row r="38" spans="1:12" ht="12.75">
      <c r="A38" s="171">
        <v>35</v>
      </c>
      <c r="B38" s="203">
        <v>-18.1</v>
      </c>
      <c r="C38" s="27"/>
      <c r="D38" s="27"/>
      <c r="E38" s="27"/>
      <c r="F38" s="27"/>
      <c r="G38" s="27"/>
      <c r="H38" s="27"/>
      <c r="I38" s="27"/>
      <c r="J38" s="27"/>
      <c r="K38" s="27"/>
      <c r="L38" s="27"/>
    </row>
    <row r="39" spans="1:12" ht="12.75">
      <c r="A39" s="171">
        <v>36</v>
      </c>
      <c r="B39" s="203">
        <v>-17</v>
      </c>
      <c r="C39" s="27"/>
      <c r="D39" s="27"/>
      <c r="E39" s="27"/>
      <c r="F39" s="27"/>
      <c r="G39" s="27"/>
      <c r="H39" s="27"/>
      <c r="I39" s="27"/>
      <c r="J39" s="27"/>
      <c r="K39" s="27"/>
      <c r="L39" s="27"/>
    </row>
    <row r="40" spans="1:12" ht="12.75">
      <c r="A40" s="171">
        <v>37</v>
      </c>
      <c r="B40" s="203">
        <v>-17.5</v>
      </c>
      <c r="C40" s="27"/>
      <c r="D40" s="27"/>
      <c r="E40" s="27"/>
      <c r="F40" s="27"/>
      <c r="G40" s="27"/>
      <c r="H40" s="27"/>
      <c r="I40" s="27"/>
      <c r="J40" s="27"/>
      <c r="K40" s="27"/>
      <c r="L40" s="27"/>
    </row>
    <row r="41" spans="1:12" ht="12.75">
      <c r="A41" s="171">
        <v>38</v>
      </c>
      <c r="B41" s="203">
        <v>-17.3</v>
      </c>
      <c r="C41" s="27"/>
      <c r="D41" s="27"/>
      <c r="E41" s="27"/>
      <c r="F41" s="27"/>
      <c r="G41" s="27"/>
      <c r="H41" s="27"/>
      <c r="I41" s="27"/>
      <c r="J41" s="27"/>
      <c r="K41" s="27"/>
      <c r="L41" s="27"/>
    </row>
    <row r="42" spans="1:12" ht="12.75">
      <c r="A42" s="171">
        <v>39</v>
      </c>
      <c r="B42" s="203">
        <v>-15</v>
      </c>
      <c r="C42" s="27"/>
      <c r="D42" s="27"/>
      <c r="E42" s="27"/>
      <c r="F42" s="27"/>
      <c r="G42" s="27"/>
      <c r="H42" s="27"/>
      <c r="I42" s="27"/>
      <c r="J42" s="27"/>
      <c r="K42" s="27"/>
      <c r="L42" s="27"/>
    </row>
    <row r="43" spans="1:12" ht="12.75">
      <c r="A43" s="171">
        <v>40</v>
      </c>
      <c r="B43" s="203">
        <v>-15.2</v>
      </c>
      <c r="C43" s="27"/>
      <c r="D43" s="27"/>
      <c r="E43" s="27"/>
      <c r="F43" s="27"/>
      <c r="G43" s="27"/>
      <c r="H43" s="27"/>
      <c r="I43" s="27"/>
      <c r="J43" s="27"/>
      <c r="K43" s="27"/>
      <c r="L43" s="27"/>
    </row>
    <row r="44" spans="1:12" ht="12.75">
      <c r="A44" s="171">
        <v>41</v>
      </c>
      <c r="B44" s="203">
        <v>-15.1</v>
      </c>
      <c r="C44" s="27"/>
      <c r="D44" s="27"/>
      <c r="E44" s="27"/>
      <c r="F44" s="27"/>
      <c r="G44" s="27"/>
      <c r="H44" s="27"/>
      <c r="I44" s="27"/>
      <c r="J44" s="27"/>
      <c r="K44" s="27"/>
      <c r="L44" s="27"/>
    </row>
    <row r="45" spans="1:12" ht="12.75">
      <c r="A45" s="171">
        <v>42</v>
      </c>
      <c r="B45" s="203">
        <v>-14</v>
      </c>
      <c r="C45" s="27"/>
      <c r="D45" s="27"/>
      <c r="E45" s="27"/>
      <c r="F45" s="27"/>
      <c r="G45" s="27"/>
      <c r="H45" s="27"/>
      <c r="I45" s="27"/>
      <c r="J45" s="27"/>
      <c r="K45" s="27"/>
      <c r="L45" s="27"/>
    </row>
    <row r="46" spans="1:12" ht="12.75">
      <c r="A46" s="171">
        <v>43</v>
      </c>
      <c r="B46" s="203">
        <v>-13</v>
      </c>
      <c r="C46" s="27"/>
      <c r="D46" s="27"/>
      <c r="E46" s="27"/>
      <c r="F46" s="27"/>
      <c r="G46" s="27"/>
      <c r="H46" s="27"/>
      <c r="I46" s="27"/>
      <c r="J46" s="27"/>
      <c r="K46" s="27"/>
      <c r="L46" s="27"/>
    </row>
    <row r="47" spans="1:12" ht="12.75">
      <c r="A47" s="171">
        <v>44</v>
      </c>
      <c r="B47" s="203">
        <v>-10</v>
      </c>
      <c r="C47" s="27"/>
      <c r="D47" s="27"/>
      <c r="E47" s="27"/>
      <c r="F47" s="27"/>
      <c r="G47" s="27"/>
      <c r="H47" s="27"/>
      <c r="I47" s="27"/>
      <c r="J47" s="27"/>
      <c r="K47" s="27"/>
      <c r="L47" s="27"/>
    </row>
    <row r="48" spans="1:12" ht="12.75">
      <c r="A48" s="171">
        <v>45</v>
      </c>
      <c r="B48" s="203">
        <v>-10.1</v>
      </c>
      <c r="C48" s="27"/>
      <c r="D48" s="27"/>
      <c r="E48" s="27"/>
      <c r="F48" s="27"/>
      <c r="G48" s="27"/>
      <c r="H48" s="27"/>
      <c r="I48" s="27"/>
      <c r="J48" s="27"/>
      <c r="K48" s="27"/>
      <c r="L48" s="27"/>
    </row>
    <row r="49" spans="1:12" ht="12.75">
      <c r="A49" s="171">
        <v>46</v>
      </c>
      <c r="B49" s="203">
        <v>-10.2</v>
      </c>
      <c r="C49" s="27"/>
      <c r="D49" s="27"/>
      <c r="E49" s="27"/>
      <c r="F49" s="27"/>
      <c r="G49" s="27"/>
      <c r="H49" s="27"/>
      <c r="I49" s="27"/>
      <c r="J49" s="27"/>
      <c r="K49" s="27"/>
      <c r="L49" s="27"/>
    </row>
    <row r="50" spans="1:12" ht="12.75">
      <c r="A50" s="171">
        <v>47</v>
      </c>
      <c r="B50" s="203">
        <v>-10.4</v>
      </c>
      <c r="C50" s="27"/>
      <c r="D50" s="27"/>
      <c r="E50" s="27"/>
      <c r="F50" s="27"/>
      <c r="G50" s="27"/>
      <c r="H50" s="27"/>
      <c r="I50" s="27"/>
      <c r="J50" s="27"/>
      <c r="K50" s="27"/>
      <c r="L50" s="27"/>
    </row>
    <row r="51" spans="1:12" ht="12.75">
      <c r="A51" s="171">
        <v>48</v>
      </c>
      <c r="B51" s="203">
        <v>-10</v>
      </c>
      <c r="C51" s="27"/>
      <c r="D51" s="27"/>
      <c r="E51" s="27"/>
      <c r="F51" s="27"/>
      <c r="G51" s="27"/>
      <c r="H51" s="27"/>
      <c r="I51" s="27"/>
      <c r="J51" s="27"/>
      <c r="K51" s="27"/>
      <c r="L51" s="27"/>
    </row>
    <row r="52" spans="1:12" ht="12.75">
      <c r="A52" s="171">
        <v>49</v>
      </c>
      <c r="B52" s="203">
        <v>-9.8</v>
      </c>
      <c r="C52" s="27"/>
      <c r="D52" s="27"/>
      <c r="E52" s="27"/>
      <c r="F52" s="27"/>
      <c r="G52" s="27"/>
      <c r="H52" s="27"/>
      <c r="I52" s="27"/>
      <c r="J52" s="27"/>
      <c r="K52" s="27"/>
      <c r="L52" s="27"/>
    </row>
    <row r="53" spans="1:12" ht="12.75">
      <c r="A53" s="171">
        <v>50</v>
      </c>
      <c r="B53" s="203">
        <v>-8</v>
      </c>
      <c r="C53" s="27"/>
      <c r="D53" s="27"/>
      <c r="E53" s="27"/>
      <c r="F53" s="27"/>
      <c r="G53" s="27"/>
      <c r="H53" s="27"/>
      <c r="I53" s="27"/>
      <c r="J53" s="27"/>
      <c r="K53" s="27"/>
      <c r="L53" s="27"/>
    </row>
    <row r="54" spans="1:12" ht="12.75">
      <c r="A54" s="171">
        <v>51</v>
      </c>
      <c r="B54" s="203">
        <v>-7</v>
      </c>
      <c r="C54" s="27"/>
      <c r="D54" s="27"/>
      <c r="E54" s="27"/>
      <c r="F54" s="27"/>
      <c r="G54" s="27"/>
      <c r="H54" s="27"/>
      <c r="I54" s="27"/>
      <c r="J54" s="27"/>
      <c r="K54" s="27"/>
      <c r="L54" s="27"/>
    </row>
    <row r="55" spans="1:12" ht="12.75">
      <c r="A55" s="171">
        <v>52</v>
      </c>
      <c r="B55" s="203">
        <v>-5</v>
      </c>
      <c r="C55" s="27"/>
      <c r="D55" s="27"/>
      <c r="E55" s="27"/>
      <c r="F55" s="27"/>
      <c r="G55" s="27"/>
      <c r="H55" s="27"/>
      <c r="I55" s="27"/>
      <c r="J55" s="27"/>
      <c r="K55" s="27"/>
      <c r="L55" s="27"/>
    </row>
    <row r="56" spans="1:12" ht="12.75">
      <c r="A56" s="171">
        <v>53</v>
      </c>
      <c r="B56" s="203">
        <v>-5</v>
      </c>
      <c r="C56" s="27"/>
      <c r="D56" s="27"/>
      <c r="E56" s="27"/>
      <c r="F56" s="27"/>
      <c r="G56" s="27"/>
      <c r="H56" s="27"/>
      <c r="I56" s="27"/>
      <c r="J56" s="27"/>
      <c r="K56" s="27"/>
      <c r="L56" s="27"/>
    </row>
    <row r="57" spans="1:12" ht="12.75">
      <c r="A57" s="171">
        <v>54</v>
      </c>
      <c r="B57" s="203">
        <v>-5</v>
      </c>
      <c r="C57" s="27"/>
      <c r="D57" s="27"/>
      <c r="E57" s="27"/>
      <c r="F57" s="27"/>
      <c r="G57" s="27"/>
      <c r="H57" s="27"/>
      <c r="I57" s="27"/>
      <c r="J57" s="27"/>
      <c r="K57" s="27"/>
      <c r="L57" s="27"/>
    </row>
    <row r="58" spans="1:12" ht="12.75">
      <c r="A58" s="171">
        <v>55</v>
      </c>
      <c r="B58" s="203">
        <v>-5</v>
      </c>
      <c r="C58" s="27"/>
      <c r="D58" s="27"/>
      <c r="E58" s="27"/>
      <c r="F58" s="27"/>
      <c r="G58" s="27"/>
      <c r="H58" s="27"/>
      <c r="I58" s="27"/>
      <c r="J58" s="27"/>
      <c r="K58" s="27"/>
      <c r="L58" s="27"/>
    </row>
    <row r="59" spans="1:12" ht="12.75">
      <c r="A59" s="171">
        <v>56</v>
      </c>
      <c r="B59" s="203">
        <v>-5</v>
      </c>
      <c r="C59" s="27"/>
      <c r="D59" s="27"/>
      <c r="E59" s="27"/>
      <c r="F59" s="27"/>
      <c r="G59" s="27"/>
      <c r="H59" s="27"/>
      <c r="I59" s="27"/>
      <c r="J59" s="27"/>
      <c r="K59" s="27"/>
      <c r="L59" s="27"/>
    </row>
    <row r="60" spans="1:12" ht="12.75">
      <c r="A60" s="171">
        <v>57</v>
      </c>
      <c r="B60" s="203">
        <v>-5</v>
      </c>
      <c r="C60" s="27"/>
      <c r="D60" s="27"/>
      <c r="E60" s="27"/>
      <c r="F60" s="27"/>
      <c r="G60" s="27"/>
      <c r="H60" s="27"/>
      <c r="I60" s="27"/>
      <c r="J60" s="27"/>
      <c r="K60" s="27"/>
      <c r="L60" s="27"/>
    </row>
    <row r="61" spans="1:12" ht="12.75">
      <c r="A61" s="171">
        <v>58</v>
      </c>
      <c r="B61" s="203">
        <v>-3</v>
      </c>
      <c r="C61" s="27"/>
      <c r="D61" s="27"/>
      <c r="E61" s="27"/>
      <c r="F61" s="27"/>
      <c r="G61" s="27"/>
      <c r="H61" s="27"/>
      <c r="I61" s="27"/>
      <c r="J61" s="27"/>
      <c r="K61" s="27"/>
      <c r="L61" s="27"/>
    </row>
    <row r="62" spans="1:12" ht="12.75">
      <c r="A62" s="171">
        <v>59</v>
      </c>
      <c r="B62" s="203">
        <v>-2</v>
      </c>
      <c r="C62" s="27"/>
      <c r="D62" s="27"/>
      <c r="E62" s="27"/>
      <c r="F62" s="27"/>
      <c r="G62" s="27"/>
      <c r="H62" s="27"/>
      <c r="I62" s="27"/>
      <c r="J62" s="27"/>
      <c r="K62" s="27"/>
      <c r="L62" s="27"/>
    </row>
    <row r="63" spans="1:12" ht="12.75">
      <c r="A63" s="171">
        <v>60</v>
      </c>
      <c r="B63" s="203">
        <v>0</v>
      </c>
      <c r="C63" s="27"/>
      <c r="D63" s="27"/>
      <c r="E63" s="27"/>
      <c r="F63" s="27"/>
      <c r="G63" s="27"/>
      <c r="H63" s="27"/>
      <c r="I63" s="27"/>
      <c r="J63" s="27"/>
      <c r="K63" s="27"/>
      <c r="L63" s="27"/>
    </row>
  </sheetData>
  <sheetProtection/>
  <hyperlinks>
    <hyperlink ref="A1" location="Cockpit!B4" tooltip="Home" display="Home"/>
    <hyperlink ref="K30" location="Cockpit!B4" tooltip="Home" display="Home"/>
  </hyperlinks>
  <printOptions/>
  <pageMargins left="0.787401575" right="0.787401575" top="0.984251969" bottom="0.984251969"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62"/>
  <sheetViews>
    <sheetView showGridLines="0" showRowColHeaders="0" zoomScale="120" zoomScaleNormal="120" zoomScalePageLayoutView="0" workbookViewId="0" topLeftCell="A1">
      <pane ySplit="4" topLeftCell="A5" activePane="bottomLeft" state="frozen"/>
      <selection pane="topLeft" activeCell="A1" sqref="A1"/>
      <selection pane="bottomLeft" activeCell="F28" sqref="F28"/>
    </sheetView>
  </sheetViews>
  <sheetFormatPr defaultColWidth="11.421875" defaultRowHeight="12.75"/>
  <cols>
    <col min="1" max="1" width="5.7109375" style="0" customWidth="1"/>
    <col min="2" max="2" width="8.421875" style="0" customWidth="1"/>
    <col min="3" max="3" width="14.140625" style="0" customWidth="1"/>
    <col min="4" max="4" width="18.421875" style="3" customWidth="1"/>
    <col min="5" max="5" width="1.421875" style="0" customWidth="1"/>
    <col min="6" max="6" width="8.140625" style="3" customWidth="1"/>
    <col min="7" max="7" width="14.140625" style="0" customWidth="1"/>
    <col min="8" max="8" width="18.421875" style="3" customWidth="1"/>
    <col min="9" max="9" width="11.7109375" style="0" bestFit="1" customWidth="1"/>
    <col min="10" max="10" width="0.71875" style="3" customWidth="1"/>
    <col min="11" max="11" width="1.28515625" style="0" customWidth="1"/>
  </cols>
  <sheetData>
    <row r="1" spans="1:9" ht="24.75" customHeight="1">
      <c r="A1" s="207" t="s">
        <v>117</v>
      </c>
      <c r="B1" s="130" t="s">
        <v>102</v>
      </c>
      <c r="C1" s="27"/>
      <c r="D1" s="27"/>
      <c r="E1" s="27"/>
      <c r="F1" s="27"/>
      <c r="G1" s="27"/>
      <c r="H1" s="27"/>
      <c r="I1" s="27"/>
    </row>
    <row r="2" spans="2:9" ht="12.75">
      <c r="B2" s="131" t="s">
        <v>103</v>
      </c>
      <c r="C2" s="27"/>
      <c r="D2" s="27"/>
      <c r="E2" s="27"/>
      <c r="F2" s="27"/>
      <c r="G2" s="27"/>
      <c r="H2" s="27"/>
      <c r="I2" s="132" t="s">
        <v>101</v>
      </c>
    </row>
    <row r="3" ht="3" customHeight="1">
      <c r="B3" s="17"/>
    </row>
    <row r="4" spans="2:10" ht="15" customHeight="1">
      <c r="B4" s="19" t="s">
        <v>112</v>
      </c>
      <c r="C4" s="20"/>
      <c r="D4" s="20"/>
      <c r="E4" s="20"/>
      <c r="F4" s="20"/>
      <c r="G4" s="20"/>
      <c r="H4" s="20"/>
      <c r="I4" s="20"/>
      <c r="J4" s="177"/>
    </row>
    <row r="5" spans="2:9" ht="7.5" customHeight="1">
      <c r="B5" s="135"/>
      <c r="C5" s="3"/>
      <c r="D5" s="32"/>
      <c r="E5" s="136"/>
      <c r="F5" s="137"/>
      <c r="G5" s="3"/>
      <c r="I5" s="3"/>
    </row>
    <row r="6" spans="2:9" ht="12.75">
      <c r="B6" s="31" t="s">
        <v>109</v>
      </c>
      <c r="C6" s="27"/>
      <c r="D6" s="27"/>
      <c r="E6" s="27"/>
      <c r="F6" s="27"/>
      <c r="G6" s="27"/>
      <c r="H6" s="27"/>
      <c r="I6" s="27"/>
    </row>
    <row r="7" spans="2:11" ht="12.75">
      <c r="B7" s="18"/>
      <c r="C7" s="3"/>
      <c r="E7" s="3"/>
      <c r="G7" s="3"/>
      <c r="I7" s="3"/>
      <c r="K7" s="3"/>
    </row>
    <row r="8" spans="2:11" ht="12.75">
      <c r="B8" s="134" t="s">
        <v>104</v>
      </c>
      <c r="C8" s="171"/>
      <c r="D8" t="s">
        <v>111</v>
      </c>
      <c r="E8" s="3"/>
      <c r="G8" s="3"/>
      <c r="I8" s="3"/>
      <c r="K8" s="3"/>
    </row>
    <row r="9" spans="2:11" ht="12.75">
      <c r="B9" s="133" t="s">
        <v>105</v>
      </c>
      <c r="C9" s="170"/>
      <c r="D9" t="s">
        <v>110</v>
      </c>
      <c r="E9" s="3"/>
      <c r="G9" s="3"/>
      <c r="I9" s="3"/>
      <c r="K9" s="3"/>
    </row>
    <row r="10" spans="2:9" ht="13.5" thickBot="1">
      <c r="B10" s="18"/>
      <c r="C10" s="3"/>
      <c r="E10" s="3"/>
      <c r="G10" s="3"/>
      <c r="I10" s="3"/>
    </row>
    <row r="11" spans="2:8" ht="16.5" thickBot="1">
      <c r="B11" s="158" t="s">
        <v>106</v>
      </c>
      <c r="C11" s="159" t="s">
        <v>107</v>
      </c>
      <c r="D11" s="160" t="s">
        <v>108</v>
      </c>
      <c r="F11" s="158" t="s">
        <v>107</v>
      </c>
      <c r="G11" s="159" t="s">
        <v>106</v>
      </c>
      <c r="H11" s="160" t="s">
        <v>108</v>
      </c>
    </row>
    <row r="12" spans="2:8" ht="12.75">
      <c r="B12" s="161">
        <v>0.0006944444444444445</v>
      </c>
      <c r="C12" s="162">
        <v>12</v>
      </c>
      <c r="D12" s="163">
        <v>12</v>
      </c>
      <c r="F12" s="172">
        <v>12</v>
      </c>
      <c r="G12" s="173">
        <v>0.0006944444444444445</v>
      </c>
      <c r="H12" s="163">
        <v>12</v>
      </c>
    </row>
    <row r="13" spans="2:8" ht="12.75">
      <c r="B13" s="165">
        <v>0.003472222222222222</v>
      </c>
      <c r="C13" s="166">
        <f>+B13*$C$12/$B$12</f>
        <v>59.99999999999999</v>
      </c>
      <c r="D13" s="167">
        <f>+C13*$D$12/$C$12</f>
        <v>59.99999999999999</v>
      </c>
      <c r="F13" s="172">
        <v>50</v>
      </c>
      <c r="G13" s="175">
        <f>+F13*$G$12/$F$12</f>
        <v>0.002893518518518519</v>
      </c>
      <c r="H13" s="167">
        <f>+F13*$H$12/$F$12</f>
        <v>50</v>
      </c>
    </row>
    <row r="14" spans="2:8" ht="12.75">
      <c r="B14" s="165">
        <v>0.006944444444444444</v>
      </c>
      <c r="C14" s="166">
        <f aca="true" t="shared" si="0" ref="C14:C20">+B14*$C$12/$B$12</f>
        <v>119.99999999999999</v>
      </c>
      <c r="D14" s="167">
        <f aca="true" t="shared" si="1" ref="D14:D20">+C14*$D$12/$C$12</f>
        <v>119.99999999999999</v>
      </c>
      <c r="F14" s="172">
        <v>100</v>
      </c>
      <c r="G14" s="175">
        <f aca="true" t="shared" si="2" ref="G14:G20">+F14*$G$12/$F$12</f>
        <v>0.005787037037037038</v>
      </c>
      <c r="H14" s="167">
        <f aca="true" t="shared" si="3" ref="H14:H20">+F14*$H$12/$F$12</f>
        <v>100</v>
      </c>
    </row>
    <row r="15" spans="2:8" ht="12.75">
      <c r="B15" s="165">
        <v>0.010416666666666666</v>
      </c>
      <c r="C15" s="166">
        <f t="shared" si="0"/>
        <v>180</v>
      </c>
      <c r="D15" s="167">
        <f t="shared" si="1"/>
        <v>180</v>
      </c>
      <c r="F15" s="172">
        <v>300</v>
      </c>
      <c r="G15" s="175">
        <f t="shared" si="2"/>
        <v>0.017361111111111112</v>
      </c>
      <c r="H15" s="167">
        <f t="shared" si="3"/>
        <v>300</v>
      </c>
    </row>
    <row r="16" spans="2:8" ht="12.75">
      <c r="B16" s="165">
        <v>0.020833333333333332</v>
      </c>
      <c r="C16" s="166">
        <f t="shared" si="0"/>
        <v>360</v>
      </c>
      <c r="D16" s="167">
        <f t="shared" si="1"/>
        <v>360</v>
      </c>
      <c r="F16" s="172">
        <v>500</v>
      </c>
      <c r="G16" s="175">
        <f t="shared" si="2"/>
        <v>0.028935185185185185</v>
      </c>
      <c r="H16" s="167">
        <f t="shared" si="3"/>
        <v>500</v>
      </c>
    </row>
    <row r="17" spans="2:8" ht="15.75" customHeight="1">
      <c r="B17" s="165">
        <v>0.03125</v>
      </c>
      <c r="C17" s="166">
        <f t="shared" si="0"/>
        <v>540</v>
      </c>
      <c r="D17" s="167">
        <f t="shared" si="1"/>
        <v>540</v>
      </c>
      <c r="F17" s="172">
        <v>600</v>
      </c>
      <c r="G17" s="175">
        <f t="shared" si="2"/>
        <v>0.034722222222222224</v>
      </c>
      <c r="H17" s="167">
        <f t="shared" si="3"/>
        <v>600</v>
      </c>
    </row>
    <row r="18" spans="2:8" ht="12.75">
      <c r="B18" s="165">
        <v>0.034722222222222224</v>
      </c>
      <c r="C18" s="166">
        <f t="shared" si="0"/>
        <v>600</v>
      </c>
      <c r="D18" s="167">
        <f t="shared" si="1"/>
        <v>600</v>
      </c>
      <c r="F18" s="172">
        <v>800</v>
      </c>
      <c r="G18" s="175">
        <f t="shared" si="2"/>
        <v>0.0462962962962963</v>
      </c>
      <c r="H18" s="167">
        <f t="shared" si="3"/>
        <v>800</v>
      </c>
    </row>
    <row r="19" spans="2:8" ht="12.75">
      <c r="B19" s="165">
        <v>0.041666666666666664</v>
      </c>
      <c r="C19" s="166">
        <f t="shared" si="0"/>
        <v>720</v>
      </c>
      <c r="D19" s="167">
        <f t="shared" si="1"/>
        <v>720</v>
      </c>
      <c r="F19" s="172">
        <v>900</v>
      </c>
      <c r="G19" s="175">
        <f t="shared" si="2"/>
        <v>0.052083333333333336</v>
      </c>
      <c r="H19" s="167">
        <f t="shared" si="3"/>
        <v>900</v>
      </c>
    </row>
    <row r="20" spans="2:8" ht="13.5" thickBot="1">
      <c r="B20" s="164">
        <v>0.052083333333333336</v>
      </c>
      <c r="C20" s="168">
        <f t="shared" si="0"/>
        <v>900</v>
      </c>
      <c r="D20" s="169">
        <f t="shared" si="1"/>
        <v>900</v>
      </c>
      <c r="F20" s="174">
        <v>1000</v>
      </c>
      <c r="G20" s="176">
        <f t="shared" si="2"/>
        <v>0.05787037037037037</v>
      </c>
      <c r="H20" s="169">
        <f t="shared" si="3"/>
        <v>1000</v>
      </c>
    </row>
    <row r="21" spans="4:8" ht="12.75">
      <c r="D21"/>
      <c r="F21"/>
      <c r="H21"/>
    </row>
    <row r="22" spans="4:8" ht="12.75">
      <c r="D22"/>
      <c r="F22"/>
      <c r="H22"/>
    </row>
    <row r="23" spans="2:10" ht="12.75">
      <c r="B23" s="54"/>
      <c r="C23" s="54"/>
      <c r="D23" s="54"/>
      <c r="E23" s="54"/>
      <c r="F23" s="54"/>
      <c r="G23" s="54"/>
      <c r="H23" s="54"/>
      <c r="I23" s="54"/>
      <c r="J23" s="55"/>
    </row>
    <row r="24" spans="2:10" ht="9.75" customHeight="1">
      <c r="B24" s="185"/>
      <c r="C24" s="186"/>
      <c r="D24" s="186"/>
      <c r="E24" s="186"/>
      <c r="F24" s="187"/>
      <c r="G24" s="187"/>
      <c r="H24" s="187"/>
      <c r="I24" s="187"/>
      <c r="J24" s="55"/>
    </row>
    <row r="25" spans="2:10" ht="12.75">
      <c r="B25" s="55"/>
      <c r="C25" s="55"/>
      <c r="D25" s="55"/>
      <c r="E25" s="55"/>
      <c r="F25" s="178"/>
      <c r="G25" s="55"/>
      <c r="H25" s="55"/>
      <c r="I25" s="55"/>
      <c r="J25" s="55"/>
    </row>
    <row r="26" spans="2:10" ht="12.75">
      <c r="B26" s="55"/>
      <c r="C26" s="55"/>
      <c r="D26" s="55"/>
      <c r="E26" s="55"/>
      <c r="F26" s="178"/>
      <c r="G26" s="55"/>
      <c r="H26" s="55"/>
      <c r="I26" s="55"/>
      <c r="J26" s="55"/>
    </row>
    <row r="27" spans="2:10" ht="12.75">
      <c r="B27" s="55"/>
      <c r="C27" s="55"/>
      <c r="D27" s="55"/>
      <c r="E27" s="55"/>
      <c r="F27" s="178"/>
      <c r="G27" s="55"/>
      <c r="H27" s="55"/>
      <c r="I27" s="55"/>
      <c r="J27" s="55"/>
    </row>
    <row r="28" spans="2:10" ht="12.75">
      <c r="B28" s="55"/>
      <c r="C28" s="55"/>
      <c r="D28" s="55"/>
      <c r="E28" s="55"/>
      <c r="F28" s="178"/>
      <c r="G28" s="55"/>
      <c r="H28" s="55"/>
      <c r="I28" s="55"/>
      <c r="J28" s="55"/>
    </row>
    <row r="29" spans="2:10" ht="12.75">
      <c r="B29" s="55"/>
      <c r="C29" s="55"/>
      <c r="D29" s="55"/>
      <c r="E29" s="55"/>
      <c r="F29" s="178"/>
      <c r="G29" s="55"/>
      <c r="H29" s="55"/>
      <c r="I29" s="55"/>
      <c r="J29" s="55"/>
    </row>
    <row r="30" spans="2:10" ht="12.75">
      <c r="B30" s="55"/>
      <c r="C30" s="55"/>
      <c r="D30" s="55"/>
      <c r="E30" s="55"/>
      <c r="F30" s="179"/>
      <c r="G30" s="181"/>
      <c r="H30" s="55"/>
      <c r="I30" s="55"/>
      <c r="J30" s="55"/>
    </row>
    <row r="31" spans="2:10" ht="12.75">
      <c r="B31" s="55"/>
      <c r="C31" s="55"/>
      <c r="D31" s="55"/>
      <c r="E31" s="55"/>
      <c r="F31" s="180"/>
      <c r="G31" s="181"/>
      <c r="H31" s="55"/>
      <c r="I31" s="55"/>
      <c r="J31" s="55"/>
    </row>
    <row r="32" spans="2:10" ht="12.75">
      <c r="B32" s="55"/>
      <c r="C32" s="55"/>
      <c r="D32" s="55"/>
      <c r="E32" s="55"/>
      <c r="F32" s="179"/>
      <c r="G32" s="55"/>
      <c r="H32" s="55"/>
      <c r="I32" s="55"/>
      <c r="J32" s="55"/>
    </row>
    <row r="33" spans="2:10" ht="12.75">
      <c r="B33" s="181"/>
      <c r="C33" s="54"/>
      <c r="D33" s="183"/>
      <c r="E33" s="55"/>
      <c r="F33" s="182"/>
      <c r="G33" s="181"/>
      <c r="H33" s="55"/>
      <c r="I33" s="55"/>
      <c r="J33" s="55"/>
    </row>
    <row r="34" spans="2:10" ht="12.75">
      <c r="B34" s="181"/>
      <c r="C34" s="54"/>
      <c r="D34" s="183"/>
      <c r="E34" s="55"/>
      <c r="F34" s="182"/>
      <c r="G34" s="181"/>
      <c r="H34" s="55"/>
      <c r="I34" s="55"/>
      <c r="J34" s="55"/>
    </row>
    <row r="35" spans="2:10" ht="12.75">
      <c r="B35" s="181"/>
      <c r="C35" s="181"/>
      <c r="D35" s="55"/>
      <c r="E35" s="55"/>
      <c r="F35" s="182"/>
      <c r="G35" s="181"/>
      <c r="H35" s="55"/>
      <c r="I35" s="55"/>
      <c r="J35" s="55"/>
    </row>
    <row r="36" spans="2:10" ht="12.75">
      <c r="B36" s="181"/>
      <c r="C36" s="181"/>
      <c r="D36" s="55"/>
      <c r="E36" s="55"/>
      <c r="F36" s="182"/>
      <c r="G36" s="181"/>
      <c r="H36" s="55"/>
      <c r="I36" s="55"/>
      <c r="J36" s="55"/>
    </row>
    <row r="37" spans="2:10" ht="12.75">
      <c r="B37" s="181"/>
      <c r="C37" s="181"/>
      <c r="D37" s="55"/>
      <c r="E37" s="55"/>
      <c r="F37" s="182"/>
      <c r="G37" s="181"/>
      <c r="H37" s="55"/>
      <c r="I37" s="55"/>
      <c r="J37" s="55"/>
    </row>
    <row r="38" spans="2:10" ht="12.75">
      <c r="B38" s="55"/>
      <c r="C38" s="55"/>
      <c r="D38" s="55"/>
      <c r="E38" s="55"/>
      <c r="F38" s="179"/>
      <c r="G38" s="55"/>
      <c r="H38" s="55"/>
      <c r="I38" s="55"/>
      <c r="J38" s="55"/>
    </row>
    <row r="39" spans="2:10" ht="12.75">
      <c r="B39" s="55"/>
      <c r="C39" s="54"/>
      <c r="D39" s="183"/>
      <c r="E39" s="55"/>
      <c r="F39" s="179"/>
      <c r="G39" s="55"/>
      <c r="H39" s="55"/>
      <c r="I39" s="55"/>
      <c r="J39" s="55"/>
    </row>
    <row r="40" spans="2:10" ht="12.75">
      <c r="B40" s="55"/>
      <c r="C40" s="54"/>
      <c r="D40" s="184"/>
      <c r="E40" s="55"/>
      <c r="F40" s="179"/>
      <c r="G40" s="55"/>
      <c r="H40" s="55"/>
      <c r="I40" s="55"/>
      <c r="J40" s="55"/>
    </row>
    <row r="41" spans="2:10" ht="12.75">
      <c r="B41" s="55"/>
      <c r="C41" s="55"/>
      <c r="D41" s="55"/>
      <c r="E41" s="55"/>
      <c r="F41" s="179"/>
      <c r="G41" s="181"/>
      <c r="H41" s="55"/>
      <c r="I41" s="55"/>
      <c r="J41" s="55"/>
    </row>
    <row r="42" spans="2:10" ht="12.75">
      <c r="B42" s="55"/>
      <c r="C42" s="55"/>
      <c r="D42" s="55"/>
      <c r="E42" s="55"/>
      <c r="F42" s="179"/>
      <c r="G42" s="181"/>
      <c r="H42" s="55"/>
      <c r="I42" s="55"/>
      <c r="J42" s="55"/>
    </row>
    <row r="43" spans="2:10" ht="12.75">
      <c r="B43" s="55"/>
      <c r="C43" s="55"/>
      <c r="D43" s="55"/>
      <c r="E43" s="55"/>
      <c r="F43" s="179"/>
      <c r="G43" s="55"/>
      <c r="H43" s="55"/>
      <c r="I43" s="55"/>
      <c r="J43" s="55"/>
    </row>
    <row r="44" spans="2:10" ht="12.75">
      <c r="B44" s="55"/>
      <c r="C44" s="55"/>
      <c r="D44" s="55"/>
      <c r="E44" s="55"/>
      <c r="F44" s="179"/>
      <c r="G44" s="55"/>
      <c r="H44" s="55"/>
      <c r="I44" s="55"/>
      <c r="J44" s="55"/>
    </row>
    <row r="45" spans="2:10" ht="12.75">
      <c r="B45" s="55"/>
      <c r="C45" s="55"/>
      <c r="D45" s="55"/>
      <c r="E45" s="55"/>
      <c r="F45" s="179"/>
      <c r="G45" s="55"/>
      <c r="H45" s="55"/>
      <c r="I45" s="55"/>
      <c r="J45" s="55"/>
    </row>
    <row r="46" spans="2:10" ht="12.75">
      <c r="B46" s="54"/>
      <c r="C46" s="54"/>
      <c r="D46" s="54"/>
      <c r="E46" s="54"/>
      <c r="F46" s="54"/>
      <c r="G46" s="54"/>
      <c r="H46" s="54"/>
      <c r="I46" s="54"/>
      <c r="J46" s="55"/>
    </row>
    <row r="47" spans="2:10" ht="12.75">
      <c r="B47" s="54"/>
      <c r="C47" s="54"/>
      <c r="D47" s="54"/>
      <c r="E47" s="54"/>
      <c r="F47" s="54"/>
      <c r="G47" s="54"/>
      <c r="H47" s="54"/>
      <c r="I47" s="54"/>
      <c r="J47" s="55"/>
    </row>
    <row r="48" spans="2:10" ht="12.75">
      <c r="B48" s="54"/>
      <c r="C48" s="54"/>
      <c r="D48" s="54"/>
      <c r="E48" s="54"/>
      <c r="F48" s="54"/>
      <c r="G48" s="54"/>
      <c r="H48" s="54"/>
      <c r="I48" s="54"/>
      <c r="J48" s="55"/>
    </row>
    <row r="49" spans="2:10" ht="12.75">
      <c r="B49" s="54"/>
      <c r="C49" s="54"/>
      <c r="D49" s="54"/>
      <c r="E49" s="54"/>
      <c r="F49" s="54"/>
      <c r="G49" s="54"/>
      <c r="H49" s="54"/>
      <c r="I49" s="54"/>
      <c r="J49" s="55"/>
    </row>
    <row r="50" spans="2:10" ht="12.75">
      <c r="B50" s="54"/>
      <c r="C50" s="54"/>
      <c r="D50" s="54"/>
      <c r="E50" s="54"/>
      <c r="F50" s="54"/>
      <c r="G50" s="54"/>
      <c r="H50" s="54"/>
      <c r="I50" s="54"/>
      <c r="J50" s="55"/>
    </row>
    <row r="51" spans="2:10" ht="12.75">
      <c r="B51" s="54"/>
      <c r="C51" s="54"/>
      <c r="D51" s="54"/>
      <c r="E51" s="54"/>
      <c r="F51" s="54"/>
      <c r="G51" s="54"/>
      <c r="H51" s="54"/>
      <c r="I51" s="54"/>
      <c r="J51" s="55"/>
    </row>
    <row r="52" spans="2:10" ht="12.75">
      <c r="B52" s="54"/>
      <c r="C52" s="54"/>
      <c r="D52" s="54"/>
      <c r="E52" s="54"/>
      <c r="F52" s="54"/>
      <c r="G52" s="54"/>
      <c r="H52" s="54"/>
      <c r="I52" s="54"/>
      <c r="J52" s="55"/>
    </row>
    <row r="53" spans="2:10" ht="12.75">
      <c r="B53" s="54"/>
      <c r="C53" s="54"/>
      <c r="D53" s="55"/>
      <c r="E53" s="54"/>
      <c r="F53" s="55"/>
      <c r="G53" s="54"/>
      <c r="H53" s="55"/>
      <c r="I53" s="54"/>
      <c r="J53" s="55"/>
    </row>
    <row r="54" spans="2:10" ht="12.75">
      <c r="B54" s="54"/>
      <c r="C54" s="54"/>
      <c r="D54" s="55"/>
      <c r="E54" s="54"/>
      <c r="F54" s="55"/>
      <c r="G54" s="54"/>
      <c r="H54" s="55"/>
      <c r="I54" s="54"/>
      <c r="J54" s="55"/>
    </row>
    <row r="55" spans="2:10" ht="12.75">
      <c r="B55" s="54"/>
      <c r="C55" s="54"/>
      <c r="D55" s="55"/>
      <c r="E55" s="54"/>
      <c r="F55" s="55"/>
      <c r="G55" s="54"/>
      <c r="H55" s="55"/>
      <c r="I55" s="54"/>
      <c r="J55" s="55"/>
    </row>
    <row r="56" spans="2:10" ht="12.75">
      <c r="B56" s="54"/>
      <c r="C56" s="54"/>
      <c r="D56" s="55"/>
      <c r="E56" s="54"/>
      <c r="F56" s="55"/>
      <c r="G56" s="54"/>
      <c r="H56" s="55"/>
      <c r="I56" s="54"/>
      <c r="J56" s="55"/>
    </row>
    <row r="57" spans="2:10" ht="12.75">
      <c r="B57" s="54"/>
      <c r="C57" s="54"/>
      <c r="D57" s="55"/>
      <c r="E57" s="54"/>
      <c r="F57" s="55"/>
      <c r="G57" s="54"/>
      <c r="H57" s="55"/>
      <c r="I57" s="54"/>
      <c r="J57" s="55"/>
    </row>
    <row r="58" spans="2:10" ht="12.75">
      <c r="B58" s="54"/>
      <c r="C58" s="54"/>
      <c r="D58" s="55"/>
      <c r="E58" s="54"/>
      <c r="F58" s="55"/>
      <c r="G58" s="54"/>
      <c r="H58" s="55"/>
      <c r="I58" s="54"/>
      <c r="J58" s="55"/>
    </row>
    <row r="59" spans="2:10" ht="12.75">
      <c r="B59" s="54"/>
      <c r="C59" s="54"/>
      <c r="D59" s="55"/>
      <c r="E59" s="54"/>
      <c r="F59" s="55"/>
      <c r="G59" s="54"/>
      <c r="H59" s="55"/>
      <c r="I59" s="54"/>
      <c r="J59" s="55"/>
    </row>
    <row r="60" spans="2:10" ht="12.75">
      <c r="B60" s="54"/>
      <c r="C60" s="54"/>
      <c r="D60" s="55"/>
      <c r="E60" s="54"/>
      <c r="F60" s="55"/>
      <c r="G60" s="54"/>
      <c r="H60" s="55"/>
      <c r="I60" s="54"/>
      <c r="J60" s="55"/>
    </row>
    <row r="61" spans="2:10" ht="12.75">
      <c r="B61" s="54"/>
      <c r="C61" s="54"/>
      <c r="D61" s="55"/>
      <c r="E61" s="54"/>
      <c r="F61" s="55"/>
      <c r="G61" s="54"/>
      <c r="H61" s="55"/>
      <c r="I61" s="54"/>
      <c r="J61" s="55"/>
    </row>
    <row r="62" spans="2:10" ht="12.75">
      <c r="B62" s="54"/>
      <c r="C62" s="54"/>
      <c r="D62" s="55"/>
      <c r="E62" s="54"/>
      <c r="F62" s="55"/>
      <c r="G62" s="54"/>
      <c r="H62" s="55"/>
      <c r="I62" s="54"/>
      <c r="J62" s="55"/>
    </row>
  </sheetData>
  <sheetProtection/>
  <conditionalFormatting sqref="F42:F43 F36:F37">
    <cfRule type="cellIs" priority="1" dxfId="0" operator="lessThan" stopIfTrue="1">
      <formula>0</formula>
    </cfRule>
  </conditionalFormatting>
  <hyperlinks>
    <hyperlink ref="A1" location="Cockpit!B3" tooltip="Home" display="Home"/>
  </hyperlinks>
  <printOptions/>
  <pageMargins left="0.6" right="0.34" top="0.5" bottom="0.62" header="0.25" footer="0.4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2"/>
  <sheetViews>
    <sheetView showGridLines="0" showRowColHeaders="0" zoomScale="120" zoomScaleNormal="120" zoomScalePageLayoutView="0" workbookViewId="0" topLeftCell="A1">
      <pane ySplit="4" topLeftCell="A5" activePane="bottomLeft" state="frozen"/>
      <selection pane="topLeft" activeCell="A1" sqref="A1"/>
      <selection pane="bottomLeft" activeCell="B15" sqref="B15"/>
    </sheetView>
  </sheetViews>
  <sheetFormatPr defaultColWidth="11.421875" defaultRowHeight="12.75"/>
  <cols>
    <col min="1" max="1" width="5.7109375" style="0" customWidth="1"/>
    <col min="2" max="2" width="14.28125" style="0" customWidth="1"/>
    <col min="3" max="3" width="11.57421875" style="0" bestFit="1" customWidth="1"/>
    <col min="4" max="4" width="0.71875" style="3" customWidth="1"/>
    <col min="5" max="5" width="11.57421875" style="0" bestFit="1" customWidth="1"/>
    <col min="6" max="6" width="0.71875" style="3" customWidth="1"/>
    <col min="7" max="7" width="12.7109375" style="0" bestFit="1" customWidth="1"/>
    <col min="8" max="8" width="0.71875" style="3" customWidth="1"/>
    <col min="9" max="9" width="11.8515625" style="0" bestFit="1" customWidth="1"/>
    <col min="10" max="10" width="0.71875" style="3" customWidth="1"/>
    <col min="11" max="11" width="27.140625" style="0" customWidth="1"/>
    <col min="12" max="12" width="1.28515625" style="0" customWidth="1"/>
  </cols>
  <sheetData>
    <row r="1" spans="1:11" ht="24.75" customHeight="1">
      <c r="A1" s="299" t="s">
        <v>117</v>
      </c>
      <c r="B1" s="130" t="s">
        <v>102</v>
      </c>
      <c r="C1" s="27"/>
      <c r="D1" s="27"/>
      <c r="E1" s="27"/>
      <c r="F1" s="27"/>
      <c r="G1" s="27"/>
      <c r="H1" s="27"/>
      <c r="I1" s="27"/>
      <c r="J1" s="27"/>
      <c r="K1" s="27"/>
    </row>
    <row r="2" spans="2:11" ht="12.75">
      <c r="B2" s="131" t="s">
        <v>103</v>
      </c>
      <c r="C2" s="27"/>
      <c r="D2" s="27"/>
      <c r="E2" s="27"/>
      <c r="F2" s="27"/>
      <c r="G2" s="27"/>
      <c r="H2" s="27"/>
      <c r="I2" s="27"/>
      <c r="J2" s="27"/>
      <c r="K2" s="132" t="s">
        <v>101</v>
      </c>
    </row>
    <row r="3" ht="3" customHeight="1">
      <c r="B3" s="17"/>
    </row>
    <row r="4" spans="2:11" ht="15" customHeight="1">
      <c r="B4" s="197" t="s">
        <v>68</v>
      </c>
      <c r="C4" s="198"/>
      <c r="D4" s="198"/>
      <c r="E4" s="198"/>
      <c r="F4" s="198"/>
      <c r="G4" s="198"/>
      <c r="H4" s="198"/>
      <c r="I4" s="198"/>
      <c r="J4" s="198"/>
      <c r="K4" s="197"/>
    </row>
    <row r="5" spans="2:11" ht="7.5" customHeight="1">
      <c r="B5" s="135"/>
      <c r="C5" s="3"/>
      <c r="D5" s="32"/>
      <c r="E5" s="136"/>
      <c r="F5" s="137"/>
      <c r="G5" s="3"/>
      <c r="I5" s="3"/>
      <c r="K5" s="18"/>
    </row>
    <row r="6" spans="2:11" ht="12.75">
      <c r="B6" s="31" t="s">
        <v>54</v>
      </c>
      <c r="C6" s="27"/>
      <c r="D6" s="27"/>
      <c r="E6" s="27"/>
      <c r="F6" s="27"/>
      <c r="G6" s="27"/>
      <c r="H6" s="27"/>
      <c r="I6" s="27"/>
      <c r="J6" s="27"/>
      <c r="K6" s="31" t="s">
        <v>55</v>
      </c>
    </row>
    <row r="7" spans="2:11" ht="12.75">
      <c r="B7" s="18"/>
      <c r="C7" s="3"/>
      <c r="E7" s="3"/>
      <c r="G7" s="3"/>
      <c r="I7" s="3"/>
      <c r="K7" s="18"/>
    </row>
    <row r="8" spans="2:11" ht="12.75">
      <c r="B8" s="190" t="s">
        <v>66</v>
      </c>
      <c r="C8" s="191"/>
      <c r="D8" s="191"/>
      <c r="E8" s="191"/>
      <c r="F8" s="191"/>
      <c r="G8" s="191"/>
      <c r="H8" s="191"/>
      <c r="I8" s="191"/>
      <c r="J8" s="191"/>
      <c r="K8" s="192"/>
    </row>
    <row r="9" spans="2:11" ht="12.75">
      <c r="B9" s="18"/>
      <c r="C9" s="3"/>
      <c r="E9" s="3"/>
      <c r="G9" s="3"/>
      <c r="I9" s="3"/>
      <c r="K9" s="18"/>
    </row>
    <row r="10" spans="2:11" ht="12.75">
      <c r="B10" s="134" t="s">
        <v>104</v>
      </c>
      <c r="C10" s="41" t="s">
        <v>56</v>
      </c>
      <c r="D10" s="42"/>
      <c r="E10" s="43" t="s">
        <v>57</v>
      </c>
      <c r="F10" s="42"/>
      <c r="G10" s="43" t="s">
        <v>58</v>
      </c>
      <c r="H10" s="44"/>
      <c r="I10" s="140" t="s">
        <v>59</v>
      </c>
      <c r="J10" s="44"/>
      <c r="K10" s="62" t="s">
        <v>65</v>
      </c>
    </row>
    <row r="11" spans="2:11" ht="15.75">
      <c r="B11" s="133" t="s">
        <v>105</v>
      </c>
      <c r="C11" s="45" t="s">
        <v>64</v>
      </c>
      <c r="D11" s="34"/>
      <c r="E11" s="35" t="s">
        <v>3</v>
      </c>
      <c r="F11" s="34"/>
      <c r="G11" s="35"/>
      <c r="H11" s="12"/>
      <c r="I11" s="154" t="s">
        <v>60</v>
      </c>
      <c r="J11" s="12"/>
      <c r="K11" s="46" t="s">
        <v>88</v>
      </c>
    </row>
    <row r="12" spans="2:11" ht="12.75">
      <c r="B12" s="40" t="s">
        <v>69</v>
      </c>
      <c r="C12" s="47">
        <v>12</v>
      </c>
      <c r="D12" s="12"/>
      <c r="E12" s="38">
        <v>200</v>
      </c>
      <c r="F12" s="12"/>
      <c r="G12" s="39">
        <f>+E12*C12</f>
        <v>2400</v>
      </c>
      <c r="H12" s="12"/>
      <c r="I12" s="155">
        <v>50</v>
      </c>
      <c r="J12" s="12"/>
      <c r="K12" s="48">
        <f>+(C12*(E12-I12))</f>
        <v>1800</v>
      </c>
    </row>
    <row r="13" spans="4:10" ht="12.75">
      <c r="D13"/>
      <c r="F13"/>
      <c r="H13"/>
      <c r="J13"/>
    </row>
    <row r="14" spans="2:11" ht="12.75">
      <c r="B14" s="448" t="s">
        <v>273</v>
      </c>
      <c r="C14" s="191"/>
      <c r="D14" s="191"/>
      <c r="E14" s="191"/>
      <c r="F14" s="191"/>
      <c r="G14" s="191"/>
      <c r="H14" s="191"/>
      <c r="I14" s="191"/>
      <c r="J14" s="191"/>
      <c r="K14" s="190"/>
    </row>
    <row r="15" spans="2:11" ht="12.75">
      <c r="B15" s="8"/>
      <c r="C15" s="8"/>
      <c r="D15" s="7"/>
      <c r="E15" s="8"/>
      <c r="F15" s="7"/>
      <c r="G15" s="8"/>
      <c r="H15" s="7"/>
      <c r="I15" s="8"/>
      <c r="J15" s="7"/>
      <c r="K15" s="8"/>
    </row>
    <row r="16" spans="2:11" ht="36" customHeight="1">
      <c r="B16" s="23" t="s">
        <v>40</v>
      </c>
      <c r="C16" s="27"/>
      <c r="D16" s="27"/>
      <c r="E16" s="27"/>
      <c r="F16" s="27"/>
      <c r="G16" s="556" t="s">
        <v>41</v>
      </c>
      <c r="H16" s="557"/>
      <c r="I16" s="557"/>
      <c r="J16" s="557"/>
      <c r="K16" s="557"/>
    </row>
    <row r="17" spans="4:6" ht="12.75">
      <c r="D17"/>
      <c r="F17"/>
    </row>
    <row r="18" spans="2:11" ht="12.75">
      <c r="B18" s="193" t="s">
        <v>93</v>
      </c>
      <c r="C18" s="194"/>
      <c r="D18" s="194"/>
      <c r="E18" s="194"/>
      <c r="F18" s="194"/>
      <c r="G18" s="194"/>
      <c r="H18" s="191"/>
      <c r="I18" s="194"/>
      <c r="J18" s="191"/>
      <c r="K18" s="194"/>
    </row>
    <row r="19" spans="2:6" ht="12.75">
      <c r="B19" t="s">
        <v>42</v>
      </c>
      <c r="D19"/>
      <c r="F19"/>
    </row>
    <row r="20" spans="2:6" ht="12.75">
      <c r="B20" t="s">
        <v>114</v>
      </c>
      <c r="D20"/>
      <c r="F20"/>
    </row>
    <row r="21" spans="4:6" ht="12.75">
      <c r="D21"/>
      <c r="F21"/>
    </row>
    <row r="22" spans="3:11" ht="15.75">
      <c r="C22" s="49" t="s">
        <v>4</v>
      </c>
      <c r="D22" s="50"/>
      <c r="E22" s="51" t="s">
        <v>61</v>
      </c>
      <c r="F22" s="50"/>
      <c r="G22" s="51" t="s">
        <v>62</v>
      </c>
      <c r="H22" s="44"/>
      <c r="I22" s="146" t="s">
        <v>45</v>
      </c>
      <c r="J22" s="44"/>
      <c r="K22" s="64" t="s">
        <v>63</v>
      </c>
    </row>
    <row r="23" spans="3:11" ht="22.5">
      <c r="C23" s="53" t="s">
        <v>48</v>
      </c>
      <c r="D23" s="54"/>
      <c r="E23" s="11" t="s">
        <v>43</v>
      </c>
      <c r="F23" s="54"/>
      <c r="G23" s="11" t="s">
        <v>44</v>
      </c>
      <c r="H23" s="55"/>
      <c r="I23" s="63" t="s">
        <v>46</v>
      </c>
      <c r="J23" s="55"/>
      <c r="K23" s="63" t="s">
        <v>89</v>
      </c>
    </row>
    <row r="24" spans="2:11" ht="12.75">
      <c r="B24" s="59" t="s">
        <v>47</v>
      </c>
      <c r="C24" s="57">
        <v>5</v>
      </c>
      <c r="D24" s="58"/>
      <c r="E24" s="38">
        <v>50</v>
      </c>
      <c r="F24" s="58"/>
      <c r="G24" s="37">
        <v>12</v>
      </c>
      <c r="H24" s="12"/>
      <c r="I24" s="156">
        <v>25</v>
      </c>
      <c r="J24" s="12"/>
      <c r="K24" s="65">
        <f>((E24*G24)/((C24+10)/10)/I24)</f>
        <v>16</v>
      </c>
    </row>
    <row r="25" spans="4:6" ht="12.75">
      <c r="D25"/>
      <c r="F25"/>
    </row>
    <row r="26" ht="12.75">
      <c r="B26" t="s">
        <v>92</v>
      </c>
    </row>
    <row r="27" spans="2:11" ht="12.75">
      <c r="B27" s="10"/>
      <c r="K27" s="36"/>
    </row>
    <row r="28" spans="3:11" ht="15.75">
      <c r="C28" s="49" t="s">
        <v>4</v>
      </c>
      <c r="D28" s="44"/>
      <c r="E28" s="51" t="s">
        <v>3</v>
      </c>
      <c r="F28" s="44"/>
      <c r="G28" s="51" t="s">
        <v>52</v>
      </c>
      <c r="H28" s="44"/>
      <c r="I28" s="52"/>
      <c r="J28" s="44"/>
      <c r="K28" s="66" t="s">
        <v>87</v>
      </c>
    </row>
    <row r="29" spans="3:11" ht="22.5">
      <c r="C29" s="53" t="s">
        <v>51</v>
      </c>
      <c r="D29" s="55"/>
      <c r="E29" s="11" t="s">
        <v>50</v>
      </c>
      <c r="F29" s="55"/>
      <c r="G29" s="11"/>
      <c r="H29" s="55"/>
      <c r="I29" s="56"/>
      <c r="J29" s="55"/>
      <c r="K29" s="63" t="s">
        <v>90</v>
      </c>
    </row>
    <row r="30" spans="2:11" ht="12.75">
      <c r="B30" s="59" t="s">
        <v>49</v>
      </c>
      <c r="C30" s="57">
        <v>20</v>
      </c>
      <c r="D30" s="12"/>
      <c r="E30" s="60">
        <f>+(C30+10)/10</f>
        <v>3</v>
      </c>
      <c r="F30" s="12"/>
      <c r="G30" s="61">
        <v>16</v>
      </c>
      <c r="H30" s="12"/>
      <c r="I30" s="56"/>
      <c r="J30" s="12"/>
      <c r="K30" s="65">
        <f>+E30*G30</f>
        <v>48</v>
      </c>
    </row>
    <row r="31" spans="2:11" ht="12.75">
      <c r="B31" s="8"/>
      <c r="C31" s="8"/>
      <c r="D31" s="7"/>
      <c r="E31" s="8"/>
      <c r="F31" s="7"/>
      <c r="G31" s="8"/>
      <c r="H31" s="7"/>
      <c r="I31" s="8"/>
      <c r="J31" s="7"/>
      <c r="K31" s="8"/>
    </row>
    <row r="32" spans="2:11" ht="12.75">
      <c r="B32" s="195" t="s">
        <v>67</v>
      </c>
      <c r="C32" s="196"/>
      <c r="D32" s="196"/>
      <c r="E32" s="196"/>
      <c r="F32" s="196"/>
      <c r="G32" s="196"/>
      <c r="H32" s="196"/>
      <c r="I32" s="196"/>
      <c r="J32" s="196"/>
      <c r="K32" s="196"/>
    </row>
    <row r="33" ht="12.75">
      <c r="B33" t="s">
        <v>94</v>
      </c>
    </row>
    <row r="34" ht="12.75">
      <c r="K34" s="33"/>
    </row>
    <row r="35" spans="3:11" ht="15.75">
      <c r="C35" s="68" t="s">
        <v>71</v>
      </c>
      <c r="D35" s="44"/>
      <c r="E35" s="51" t="s">
        <v>4</v>
      </c>
      <c r="F35" s="44"/>
      <c r="G35" s="51" t="s">
        <v>52</v>
      </c>
      <c r="H35" s="44"/>
      <c r="I35" s="70" t="s">
        <v>73</v>
      </c>
      <c r="J35" s="44"/>
      <c r="K35" s="70" t="s">
        <v>75</v>
      </c>
    </row>
    <row r="36" spans="3:11" ht="38.25">
      <c r="C36" s="71" t="s">
        <v>72</v>
      </c>
      <c r="D36" s="12"/>
      <c r="E36" s="11" t="s">
        <v>51</v>
      </c>
      <c r="F36" s="12"/>
      <c r="G36" s="11"/>
      <c r="H36" s="12"/>
      <c r="I36" s="157" t="s">
        <v>74</v>
      </c>
      <c r="J36" s="12"/>
      <c r="K36" s="63" t="s">
        <v>91</v>
      </c>
    </row>
    <row r="37" spans="2:11" ht="12.75">
      <c r="B37" s="67" t="s">
        <v>70</v>
      </c>
      <c r="C37" s="72">
        <v>1800</v>
      </c>
      <c r="D37" s="12"/>
      <c r="E37" s="73">
        <v>30</v>
      </c>
      <c r="F37" s="12"/>
      <c r="G37" s="61">
        <v>16</v>
      </c>
      <c r="H37" s="12"/>
      <c r="I37" s="65">
        <f>+((E37+10)/10)*G37</f>
        <v>64</v>
      </c>
      <c r="J37" s="12"/>
      <c r="K37" s="74">
        <f>+C37/I37</f>
        <v>28.125</v>
      </c>
    </row>
    <row r="39" spans="3:11" ht="12.75">
      <c r="C39" s="101" t="s">
        <v>152</v>
      </c>
      <c r="E39" s="101" t="s">
        <v>153</v>
      </c>
      <c r="G39" s="101" t="s">
        <v>154</v>
      </c>
      <c r="I39" s="101" t="s">
        <v>155</v>
      </c>
      <c r="K39" s="247" t="s">
        <v>156</v>
      </c>
    </row>
    <row r="40" spans="3:11" ht="12.75">
      <c r="C40" s="104" t="s">
        <v>157</v>
      </c>
      <c r="E40" s="104" t="s">
        <v>158</v>
      </c>
      <c r="G40" s="104" t="s">
        <v>159</v>
      </c>
      <c r="I40" s="104"/>
      <c r="K40" s="103"/>
    </row>
    <row r="41" spans="3:11" ht="12.75">
      <c r="C41" s="106" t="s">
        <v>59</v>
      </c>
      <c r="E41" s="106"/>
      <c r="G41" s="106" t="s">
        <v>160</v>
      </c>
      <c r="I41" s="106"/>
      <c r="K41" s="248" t="s">
        <v>59</v>
      </c>
    </row>
    <row r="42" spans="3:11" ht="12.75">
      <c r="C42" s="249">
        <v>12</v>
      </c>
      <c r="E42" s="250">
        <v>16</v>
      </c>
      <c r="G42" s="251">
        <v>30</v>
      </c>
      <c r="I42" s="252">
        <v>30</v>
      </c>
      <c r="K42" s="253">
        <f>+((G42+10)/10)*$E$42*I42</f>
        <v>1920</v>
      </c>
    </row>
    <row r="43" spans="3:11" ht="12.75">
      <c r="C43" s="254">
        <f>+C42*200</f>
        <v>2400</v>
      </c>
      <c r="G43" s="255">
        <v>9</v>
      </c>
      <c r="I43" s="256"/>
      <c r="K43" s="257">
        <f>+((G43+10)/10)*$E$42*I43</f>
        <v>0</v>
      </c>
    </row>
    <row r="44" spans="3:11" ht="12.75">
      <c r="C44" s="258">
        <v>50</v>
      </c>
      <c r="G44" s="255">
        <v>6</v>
      </c>
      <c r="I44" s="256"/>
      <c r="K44" s="257">
        <f>+((G44+10)/10)*$E$42*I44</f>
        <v>0</v>
      </c>
    </row>
    <row r="45" spans="7:11" ht="12.75">
      <c r="G45" s="255">
        <v>3</v>
      </c>
      <c r="I45" s="256">
        <v>3</v>
      </c>
      <c r="K45" s="257">
        <f>+((G45+10)/10)*$E$42*I45</f>
        <v>62.400000000000006</v>
      </c>
    </row>
    <row r="46" spans="3:11" ht="12.75">
      <c r="C46" s="259"/>
      <c r="K46" s="254">
        <f>+K45+K44+K43+K42</f>
        <v>1982.4</v>
      </c>
    </row>
    <row r="47" ht="12.75">
      <c r="K47" s="260">
        <f>+K46/12</f>
        <v>165.20000000000002</v>
      </c>
    </row>
    <row r="48" spans="9:11" ht="12.75">
      <c r="I48" s="261">
        <f>+I45+I44+I43+I42</f>
        <v>33</v>
      </c>
      <c r="K48" s="262">
        <f>200-K47</f>
        <v>34.79999999999998</v>
      </c>
    </row>
    <row r="51" ht="12.75">
      <c r="K51" s="299" t="s">
        <v>117</v>
      </c>
    </row>
    <row r="52" ht="12.75">
      <c r="B52" s="114"/>
    </row>
  </sheetData>
  <sheetProtection/>
  <mergeCells count="1">
    <mergeCell ref="G16:K16"/>
  </mergeCells>
  <dataValidations count="1">
    <dataValidation type="whole" allowBlank="1" showInputMessage="1" showErrorMessage="1" prompt="max 230 bar (van der waal)" error="max 230 bar (van der Waal!)" sqref="E12">
      <formula1>50</formula1>
      <formula2>230</formula2>
    </dataValidation>
  </dataValidations>
  <hyperlinks>
    <hyperlink ref="A1" location="Cockpit!B4" tooltip="Home" display="Home"/>
    <hyperlink ref="B14" location="'Gay Lussac'!A1" display="Achtung: bei starken Temperaturschwankungen verändert sich das Volumen ! Siehe &quot;Gay Lussac&quot;"/>
    <hyperlink ref="K51" location="Cockpit!B4" tooltip="Home" display="Home"/>
  </hyperlinks>
  <printOptions/>
  <pageMargins left="0.6" right="0.34" top="0.5" bottom="0.62" header="0.25" footer="0.4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16"/>
  <sheetViews>
    <sheetView showGridLines="0" showRowColHeaders="0" zoomScale="120" zoomScaleNormal="120"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5.7109375" style="0" customWidth="1"/>
    <col min="2" max="2" width="14.28125" style="0" customWidth="1"/>
    <col min="3" max="3" width="11.57421875" style="0" bestFit="1" customWidth="1"/>
    <col min="4" max="4" width="0.71875" style="3" customWidth="1"/>
    <col min="5" max="5" width="11.57421875" style="0" bestFit="1" customWidth="1"/>
    <col min="6" max="6" width="0.71875" style="3" customWidth="1"/>
    <col min="7" max="7" width="12.7109375" style="0" bestFit="1" customWidth="1"/>
    <col min="8" max="8" width="0.71875" style="3" customWidth="1"/>
    <col min="9" max="9" width="11.8515625" style="0" bestFit="1" customWidth="1"/>
    <col min="10" max="10" width="0.71875" style="3" customWidth="1"/>
    <col min="11" max="11" width="27.140625" style="0" customWidth="1"/>
    <col min="12" max="12" width="1.28515625" style="0" customWidth="1"/>
  </cols>
  <sheetData>
    <row r="1" spans="1:11" ht="24.75" customHeight="1">
      <c r="A1" s="299" t="s">
        <v>117</v>
      </c>
      <c r="B1" s="130" t="s">
        <v>102</v>
      </c>
      <c r="C1" s="27"/>
      <c r="D1" s="27"/>
      <c r="E1" s="27"/>
      <c r="F1" s="27"/>
      <c r="G1" s="27"/>
      <c r="H1" s="27"/>
      <c r="I1" s="27"/>
      <c r="J1" s="27"/>
      <c r="K1" s="27"/>
    </row>
    <row r="2" spans="2:11" ht="12.75">
      <c r="B2" s="131" t="s">
        <v>103</v>
      </c>
      <c r="C2" s="27"/>
      <c r="D2" s="27"/>
      <c r="E2" s="27"/>
      <c r="F2" s="27"/>
      <c r="G2" s="27"/>
      <c r="H2" s="27"/>
      <c r="I2" s="27"/>
      <c r="J2" s="27"/>
      <c r="K2" s="132" t="s">
        <v>101</v>
      </c>
    </row>
    <row r="3" ht="3" customHeight="1">
      <c r="B3" s="17"/>
    </row>
    <row r="4" spans="2:11" ht="15" customHeight="1">
      <c r="B4" s="197" t="s">
        <v>261</v>
      </c>
      <c r="C4" s="198"/>
      <c r="D4" s="198"/>
      <c r="E4" s="198"/>
      <c r="F4" s="198"/>
      <c r="G4" s="198"/>
      <c r="H4" s="198"/>
      <c r="I4" s="198"/>
      <c r="J4" s="198"/>
      <c r="K4" s="197"/>
    </row>
    <row r="5" spans="2:11" ht="7.5" customHeight="1">
      <c r="B5" s="135"/>
      <c r="C5" s="3"/>
      <c r="D5" s="32"/>
      <c r="E5" s="136"/>
      <c r="F5" s="137"/>
      <c r="G5" s="3"/>
      <c r="I5" s="3"/>
      <c r="K5" s="18"/>
    </row>
    <row r="6" spans="2:11" ht="84.75" customHeight="1">
      <c r="B6" s="558" t="s">
        <v>262</v>
      </c>
      <c r="C6" s="559"/>
      <c r="D6" s="559"/>
      <c r="E6" s="559"/>
      <c r="F6" s="559"/>
      <c r="G6" s="559"/>
      <c r="H6" s="559"/>
      <c r="I6" s="559"/>
      <c r="J6" s="559"/>
      <c r="K6" s="559"/>
    </row>
    <row r="7" spans="2:11" ht="39.75" customHeight="1">
      <c r="B7" s="560" t="s">
        <v>263</v>
      </c>
      <c r="C7" s="561"/>
      <c r="D7" s="561"/>
      <c r="E7" s="562"/>
      <c r="F7" s="442"/>
      <c r="G7" s="563" t="s">
        <v>272</v>
      </c>
      <c r="H7" s="564"/>
      <c r="I7" s="564"/>
      <c r="J7" s="564"/>
      <c r="K7" s="564"/>
    </row>
    <row r="8" spans="2:11" ht="49.5" customHeight="1">
      <c r="B8" s="558" t="s">
        <v>276</v>
      </c>
      <c r="C8" s="559"/>
      <c r="D8" s="559"/>
      <c r="E8" s="559"/>
      <c r="F8" s="559"/>
      <c r="G8" s="559"/>
      <c r="H8" s="559"/>
      <c r="I8" s="559"/>
      <c r="J8" s="559"/>
      <c r="K8" s="559"/>
    </row>
    <row r="9" spans="2:11" ht="12.75">
      <c r="B9" s="18"/>
      <c r="C9" s="3"/>
      <c r="E9" s="3"/>
      <c r="G9" s="3"/>
      <c r="I9" s="3"/>
      <c r="K9" s="18"/>
    </row>
    <row r="10" spans="2:11" ht="12.75">
      <c r="B10" s="190" t="s">
        <v>264</v>
      </c>
      <c r="C10" s="191"/>
      <c r="D10" s="191"/>
      <c r="E10" s="191"/>
      <c r="F10" s="191"/>
      <c r="G10" s="191"/>
      <c r="H10" s="191"/>
      <c r="I10" s="191"/>
      <c r="J10" s="191"/>
      <c r="K10" s="192"/>
    </row>
    <row r="11" spans="2:11" ht="12.75">
      <c r="B11" s="18"/>
      <c r="C11" s="3"/>
      <c r="E11" s="3"/>
      <c r="G11" s="3"/>
      <c r="I11" s="3"/>
      <c r="K11" s="18"/>
    </row>
    <row r="12" spans="2:11" ht="12.75">
      <c r="B12" s="134" t="s">
        <v>104</v>
      </c>
      <c r="C12" s="41" t="s">
        <v>266</v>
      </c>
      <c r="D12" s="42"/>
      <c r="E12" s="43" t="s">
        <v>57</v>
      </c>
      <c r="F12" s="42"/>
      <c r="G12" s="43" t="s">
        <v>268</v>
      </c>
      <c r="H12" s="44"/>
      <c r="I12" s="140" t="s">
        <v>271</v>
      </c>
      <c r="J12" s="44"/>
      <c r="K12" s="62" t="s">
        <v>274</v>
      </c>
    </row>
    <row r="13" spans="2:11" ht="15.75">
      <c r="B13" s="133" t="s">
        <v>105</v>
      </c>
      <c r="C13" s="45" t="s">
        <v>267</v>
      </c>
      <c r="D13" s="34"/>
      <c r="E13" s="35" t="s">
        <v>3</v>
      </c>
      <c r="F13" s="34"/>
      <c r="G13" s="444" t="s">
        <v>269</v>
      </c>
      <c r="H13" s="12"/>
      <c r="I13" s="154" t="s">
        <v>270</v>
      </c>
      <c r="J13" s="12"/>
      <c r="K13" s="46" t="s">
        <v>275</v>
      </c>
    </row>
    <row r="14" spans="2:11" ht="12.75">
      <c r="B14" s="40" t="s">
        <v>265</v>
      </c>
      <c r="C14" s="443">
        <v>30</v>
      </c>
      <c r="D14" s="12"/>
      <c r="E14" s="38">
        <v>210</v>
      </c>
      <c r="F14" s="12"/>
      <c r="G14" s="445">
        <v>8</v>
      </c>
      <c r="H14" s="12"/>
      <c r="I14" s="446">
        <v>273</v>
      </c>
      <c r="J14" s="12"/>
      <c r="K14" s="447">
        <f>+E14*((G14+I14)/(C14+I14))</f>
        <v>194.75247524752476</v>
      </c>
    </row>
    <row r="15" spans="4:10" ht="12.75">
      <c r="D15"/>
      <c r="F15"/>
      <c r="H15"/>
      <c r="J15"/>
    </row>
    <row r="16" spans="2:11" ht="12.75">
      <c r="B16" s="190"/>
      <c r="C16" s="191"/>
      <c r="D16" s="191"/>
      <c r="E16" s="191"/>
      <c r="F16" s="191"/>
      <c r="G16" s="191"/>
      <c r="H16" s="191"/>
      <c r="I16" s="191"/>
      <c r="J16" s="191"/>
      <c r="K16" s="299" t="s">
        <v>117</v>
      </c>
    </row>
  </sheetData>
  <sheetProtection/>
  <mergeCells count="4">
    <mergeCell ref="B6:K6"/>
    <mergeCell ref="B8:K8"/>
    <mergeCell ref="B7:E7"/>
    <mergeCell ref="G7:K7"/>
  </mergeCells>
  <hyperlinks>
    <hyperlink ref="A1" location="Cockpit!B4" tooltip="Home" display="Home"/>
    <hyperlink ref="K16" location="Cockpit!B4" tooltip="Home" display="Home"/>
  </hyperlinks>
  <printOptions/>
  <pageMargins left="0.6" right="0.34" top="0.5" bottom="0.62" header="0.25" footer="0.4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L38"/>
  <sheetViews>
    <sheetView showGridLines="0" showRowColHeader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11.421875" defaultRowHeight="12.75"/>
  <cols>
    <col min="1" max="1" width="7.7109375" style="0" customWidth="1"/>
    <col min="2" max="2" width="16.140625" style="0" customWidth="1"/>
    <col min="7" max="7" width="1.7109375" style="0" customWidth="1"/>
  </cols>
  <sheetData>
    <row r="1" spans="1:12" ht="24.75" customHeight="1">
      <c r="A1" s="299" t="s">
        <v>117</v>
      </c>
      <c r="B1" s="130" t="s">
        <v>102</v>
      </c>
      <c r="C1" s="27"/>
      <c r="D1" s="27"/>
      <c r="E1" s="27"/>
      <c r="F1" s="27"/>
      <c r="G1" s="27"/>
      <c r="H1" s="27"/>
      <c r="I1" s="27"/>
      <c r="J1" s="27"/>
      <c r="K1" s="27"/>
      <c r="L1" s="27"/>
    </row>
    <row r="2" spans="2:12" ht="12.75">
      <c r="B2" s="131" t="s">
        <v>103</v>
      </c>
      <c r="C2" s="27"/>
      <c r="D2" s="27"/>
      <c r="E2" s="27"/>
      <c r="F2" s="27"/>
      <c r="G2" s="27"/>
      <c r="H2" s="27"/>
      <c r="I2" s="27"/>
      <c r="J2" s="27"/>
      <c r="K2" s="132" t="s">
        <v>101</v>
      </c>
      <c r="L2" s="27"/>
    </row>
    <row r="3" spans="2:12" ht="15.75">
      <c r="B3" s="263" t="s">
        <v>161</v>
      </c>
      <c r="C3" s="264"/>
      <c r="D3" s="264"/>
      <c r="E3" s="264"/>
      <c r="F3" s="265" t="s">
        <v>162</v>
      </c>
      <c r="H3" s="263" t="s">
        <v>163</v>
      </c>
      <c r="I3" s="264"/>
      <c r="J3" s="264"/>
      <c r="K3" s="264"/>
      <c r="L3" s="264"/>
    </row>
    <row r="5" ht="12.75">
      <c r="B5" t="s">
        <v>281</v>
      </c>
    </row>
    <row r="6" ht="12.75">
      <c r="B6" t="s">
        <v>282</v>
      </c>
    </row>
    <row r="8" spans="2:11" ht="12.75">
      <c r="B8" s="59" t="s">
        <v>152</v>
      </c>
      <c r="C8" s="266">
        <v>15</v>
      </c>
      <c r="E8" s="134" t="s">
        <v>104</v>
      </c>
      <c r="H8" s="59" t="s">
        <v>152</v>
      </c>
      <c r="I8" s="450">
        <f>+Tauchgangsplanung</f>
        <v>15</v>
      </c>
      <c r="K8" s="134" t="s">
        <v>104</v>
      </c>
    </row>
    <row r="9" spans="2:11" ht="12.75">
      <c r="B9" s="59" t="s">
        <v>32</v>
      </c>
      <c r="C9" s="267">
        <v>200</v>
      </c>
      <c r="E9" s="133" t="s">
        <v>105</v>
      </c>
      <c r="H9" s="59" t="s">
        <v>32</v>
      </c>
      <c r="I9" s="451">
        <f>+C9</f>
        <v>200</v>
      </c>
      <c r="K9" s="133" t="s">
        <v>105</v>
      </c>
    </row>
    <row r="10" spans="2:9" ht="12.75">
      <c r="B10" s="59" t="s">
        <v>59</v>
      </c>
      <c r="C10" s="267">
        <v>50</v>
      </c>
      <c r="H10" s="59" t="s">
        <v>59</v>
      </c>
      <c r="I10" s="451">
        <f>+C10</f>
        <v>50</v>
      </c>
    </row>
    <row r="11" spans="2:9" ht="12.75">
      <c r="B11" s="59" t="s">
        <v>164</v>
      </c>
      <c r="C11" s="268">
        <v>20</v>
      </c>
      <c r="H11" s="59" t="s">
        <v>164</v>
      </c>
      <c r="I11" s="452">
        <f>+C11</f>
        <v>20</v>
      </c>
    </row>
    <row r="12" spans="2:12" ht="13.5" thickBot="1">
      <c r="B12" s="269"/>
      <c r="C12" s="269"/>
      <c r="D12" s="269"/>
      <c r="E12" s="269"/>
      <c r="F12" s="269"/>
      <c r="H12" s="269"/>
      <c r="I12" s="269"/>
      <c r="J12" s="269"/>
      <c r="K12" s="269"/>
      <c r="L12" s="269"/>
    </row>
    <row r="13" spans="2:12" ht="13.5" thickBot="1">
      <c r="B13" s="270" t="s">
        <v>165</v>
      </c>
      <c r="C13" s="270"/>
      <c r="D13" s="271" t="s">
        <v>166</v>
      </c>
      <c r="E13" s="271" t="s">
        <v>167</v>
      </c>
      <c r="F13" s="271" t="s">
        <v>59</v>
      </c>
      <c r="H13" s="270" t="s">
        <v>165</v>
      </c>
      <c r="I13" s="270"/>
      <c r="J13" s="271" t="s">
        <v>166</v>
      </c>
      <c r="K13" s="271" t="s">
        <v>167</v>
      </c>
      <c r="L13" s="271" t="s">
        <v>59</v>
      </c>
    </row>
    <row r="14" spans="2:12" ht="12.75">
      <c r="B14" t="s">
        <v>168</v>
      </c>
      <c r="C14" s="272">
        <v>21</v>
      </c>
      <c r="D14" s="27"/>
      <c r="E14" s="27"/>
      <c r="F14" s="27"/>
      <c r="H14" t="s">
        <v>168</v>
      </c>
      <c r="I14" s="272">
        <v>32</v>
      </c>
      <c r="J14" s="27"/>
      <c r="K14" s="27"/>
      <c r="L14" s="27"/>
    </row>
    <row r="15" spans="2:12" ht="12.75">
      <c r="B15" t="s">
        <v>24</v>
      </c>
      <c r="C15" s="273">
        <v>30</v>
      </c>
      <c r="D15" s="274">
        <f>+((C15+10)/10)*$C$11</f>
        <v>80</v>
      </c>
      <c r="E15" s="27"/>
      <c r="F15" s="27"/>
      <c r="H15" t="s">
        <v>24</v>
      </c>
      <c r="I15" s="273">
        <v>30</v>
      </c>
      <c r="J15" s="274">
        <f>+((I15+10)/10)*$C$11</f>
        <v>80</v>
      </c>
      <c r="K15" s="27"/>
      <c r="L15" s="27"/>
    </row>
    <row r="16" spans="2:12" ht="12.75">
      <c r="B16" t="s">
        <v>37</v>
      </c>
      <c r="C16" s="275">
        <f>+(((1-C14/100)/0.79)*(C15+10))-10</f>
        <v>30</v>
      </c>
      <c r="D16" s="27"/>
      <c r="E16" s="27"/>
      <c r="F16" s="27"/>
      <c r="H16" t="s">
        <v>37</v>
      </c>
      <c r="I16" s="275">
        <f>+(((1-I14/100)/0.79)*(I15+10))-10</f>
        <v>24.430379746835442</v>
      </c>
      <c r="J16" s="27"/>
      <c r="K16" s="27"/>
      <c r="L16" s="27"/>
    </row>
    <row r="17" spans="2:12" ht="12.75">
      <c r="B17" t="s">
        <v>169</v>
      </c>
      <c r="C17" s="276">
        <v>23</v>
      </c>
      <c r="D17" s="27"/>
      <c r="E17" s="277">
        <f>+D15*C17</f>
        <v>1840</v>
      </c>
      <c r="F17" s="278">
        <f>+$C$9-E17/Tauchgangsplanung</f>
        <v>77.33333333333333</v>
      </c>
      <c r="H17" t="s">
        <v>169</v>
      </c>
      <c r="I17" s="276">
        <v>30</v>
      </c>
      <c r="J17" s="27"/>
      <c r="K17" s="277">
        <f>+J15*I17</f>
        <v>2400</v>
      </c>
      <c r="L17" s="278">
        <f>+$C$9-K17/Tauchgangsplanung</f>
        <v>40</v>
      </c>
    </row>
    <row r="18" spans="2:12" ht="12.75">
      <c r="B18" t="s">
        <v>170</v>
      </c>
      <c r="C18" s="276">
        <v>0</v>
      </c>
      <c r="D18" s="274">
        <f>IF(C18,+((9+10)/10)*$C$11,0)</f>
        <v>0</v>
      </c>
      <c r="E18" s="277">
        <f>+D18*C18</f>
        <v>0</v>
      </c>
      <c r="F18" s="278">
        <f>+F17-E18/Tauchgangsplanung</f>
        <v>77.33333333333333</v>
      </c>
      <c r="H18" t="s">
        <v>170</v>
      </c>
      <c r="I18" s="276">
        <v>0</v>
      </c>
      <c r="J18" s="274">
        <f>IF(I18,+((9+10)/10)*$C$11,0)</f>
        <v>0</v>
      </c>
      <c r="K18" s="277">
        <f>+J18*I18</f>
        <v>0</v>
      </c>
      <c r="L18" s="278">
        <f>+L17-K18/Tauchgangsplanung</f>
        <v>40</v>
      </c>
    </row>
    <row r="19" spans="2:12" ht="12.75">
      <c r="B19" t="s">
        <v>171</v>
      </c>
      <c r="C19" s="276">
        <v>1</v>
      </c>
      <c r="D19" s="274">
        <f>IF(C19,+((6+10)/10)*$C$11,0)</f>
        <v>32</v>
      </c>
      <c r="E19" s="277">
        <f>+D19*C19</f>
        <v>32</v>
      </c>
      <c r="F19" s="278">
        <f>+F18-E19/Tauchgangsplanung</f>
        <v>75.19999999999999</v>
      </c>
      <c r="H19" t="s">
        <v>171</v>
      </c>
      <c r="I19" s="276">
        <v>0</v>
      </c>
      <c r="J19" s="274">
        <f>IF(I19,+((6+10)/10)*$C$11,0)</f>
        <v>0</v>
      </c>
      <c r="K19" s="277">
        <f>+J19*I19</f>
        <v>0</v>
      </c>
      <c r="L19" s="278">
        <f>+L18-K19/Tauchgangsplanung</f>
        <v>40</v>
      </c>
    </row>
    <row r="20" spans="2:12" ht="12.75">
      <c r="B20" t="s">
        <v>172</v>
      </c>
      <c r="C20" s="276">
        <v>6</v>
      </c>
      <c r="D20" s="274">
        <f>IF(C20,+((3+10)/10)*$C$11,0)</f>
        <v>26</v>
      </c>
      <c r="E20" s="277">
        <f>+D20*C20</f>
        <v>156</v>
      </c>
      <c r="F20" s="278">
        <f>+F19-E20/Tauchgangsplanung</f>
        <v>64.79999999999998</v>
      </c>
      <c r="H20" t="s">
        <v>172</v>
      </c>
      <c r="I20" s="276">
        <v>5</v>
      </c>
      <c r="J20" s="274">
        <f>IF(I20,+((3+10)/10)*$C$11,0)</f>
        <v>26</v>
      </c>
      <c r="K20" s="277">
        <f>+J20*I20</f>
        <v>130</v>
      </c>
      <c r="L20" s="278">
        <f>+L19-K20/Tauchgangsplanung</f>
        <v>31.333333333333336</v>
      </c>
    </row>
    <row r="21" spans="2:12" ht="13.5" thickBot="1">
      <c r="B21" s="279" t="s">
        <v>173</v>
      </c>
      <c r="C21" s="280">
        <f>+C20+C19+C18+C17</f>
        <v>30</v>
      </c>
      <c r="D21" s="281"/>
      <c r="E21" s="282">
        <f>SUM(E17:E20)</f>
        <v>2028</v>
      </c>
      <c r="F21" s="283">
        <f>+$C$9-E21/12</f>
        <v>31</v>
      </c>
      <c r="H21" s="279" t="s">
        <v>173</v>
      </c>
      <c r="I21" s="280">
        <f>+I20+I19+I18+I17</f>
        <v>35</v>
      </c>
      <c r="J21" s="281"/>
      <c r="K21" s="282">
        <f>SUM(K17:K20)</f>
        <v>2530</v>
      </c>
      <c r="L21" s="283">
        <f>+$C$9-K21/12</f>
        <v>-10.833333333333343</v>
      </c>
    </row>
    <row r="22" spans="2:12" ht="14.25" thickBot="1" thickTop="1">
      <c r="B22" s="284"/>
      <c r="C22" s="284"/>
      <c r="D22" s="284"/>
      <c r="E22" s="284"/>
      <c r="F22" s="284"/>
      <c r="H22" s="284"/>
      <c r="I22" s="284"/>
      <c r="J22" s="284"/>
      <c r="K22" s="284"/>
      <c r="L22" s="284"/>
    </row>
    <row r="23" spans="2:12" ht="13.5" thickBot="1">
      <c r="B23" s="270" t="s">
        <v>174</v>
      </c>
      <c r="C23" s="270"/>
      <c r="D23" s="271" t="s">
        <v>166</v>
      </c>
      <c r="E23" s="271" t="s">
        <v>167</v>
      </c>
      <c r="F23" s="271" t="s">
        <v>59</v>
      </c>
      <c r="H23" s="270" t="s">
        <v>174</v>
      </c>
      <c r="I23" s="270"/>
      <c r="J23" s="271" t="s">
        <v>166</v>
      </c>
      <c r="K23" s="271" t="s">
        <v>167</v>
      </c>
      <c r="L23" s="271" t="s">
        <v>59</v>
      </c>
    </row>
    <row r="24" spans="2:12" ht="12.75">
      <c r="B24" t="s">
        <v>168</v>
      </c>
      <c r="C24" s="285">
        <f>+C14</f>
        <v>21</v>
      </c>
      <c r="D24" s="27"/>
      <c r="E24" s="27"/>
      <c r="F24" s="27"/>
      <c r="H24" t="s">
        <v>168</v>
      </c>
      <c r="I24" s="285">
        <f>+I14</f>
        <v>32</v>
      </c>
      <c r="J24" s="27"/>
      <c r="K24" s="27"/>
      <c r="L24" s="27"/>
    </row>
    <row r="25" spans="2:12" ht="12.75">
      <c r="B25" t="s">
        <v>24</v>
      </c>
      <c r="C25" s="286">
        <v>30</v>
      </c>
      <c r="D25" s="287">
        <f>+((C25+10)/10)*$C$11</f>
        <v>80</v>
      </c>
      <c r="E25" s="27"/>
      <c r="F25" s="27"/>
      <c r="H25" t="s">
        <v>24</v>
      </c>
      <c r="I25" s="286">
        <v>30</v>
      </c>
      <c r="J25" s="287">
        <f>+((I25+10)/10)*$C$11</f>
        <v>80</v>
      </c>
      <c r="K25" s="27"/>
      <c r="L25" s="27"/>
    </row>
    <row r="26" spans="2:12" ht="12.75">
      <c r="B26" t="s">
        <v>37</v>
      </c>
      <c r="C26" s="275">
        <f>+(((1-C24/100)/0.79)*(C25+10))-10</f>
        <v>30</v>
      </c>
      <c r="D26" s="27"/>
      <c r="E26" s="27"/>
      <c r="F26" s="27"/>
      <c r="H26" t="s">
        <v>37</v>
      </c>
      <c r="I26" s="275">
        <f>+(((1-I24/100)/0.79)*(I25+10))-10</f>
        <v>24.430379746835442</v>
      </c>
      <c r="J26" s="27"/>
      <c r="K26" s="27"/>
      <c r="L26" s="27"/>
    </row>
    <row r="27" spans="2:12" ht="12.75">
      <c r="B27" t="s">
        <v>169</v>
      </c>
      <c r="C27" s="276">
        <v>20</v>
      </c>
      <c r="D27" s="27"/>
      <c r="E27" s="288">
        <f>+D25*C27</f>
        <v>1600</v>
      </c>
      <c r="F27" s="289">
        <f>+$C$9-E27/Tauchgangsplanung</f>
        <v>93.33333333333333</v>
      </c>
      <c r="H27" t="s">
        <v>169</v>
      </c>
      <c r="I27" s="276">
        <v>25</v>
      </c>
      <c r="J27" s="27"/>
      <c r="K27" s="288">
        <f>+J25*I27</f>
        <v>2000</v>
      </c>
      <c r="L27" s="289">
        <f>+$C$9-K27/Tauchgangsplanung</f>
        <v>66.66666666666666</v>
      </c>
    </row>
    <row r="28" spans="2:12" ht="12.75">
      <c r="B28" t="s">
        <v>175</v>
      </c>
      <c r="C28" s="290">
        <v>0.125</v>
      </c>
      <c r="D28" s="27"/>
      <c r="E28" s="291"/>
      <c r="F28" s="292"/>
      <c r="H28" t="s">
        <v>175</v>
      </c>
      <c r="I28" s="290">
        <v>0.125</v>
      </c>
      <c r="J28" s="27"/>
      <c r="K28" s="291"/>
      <c r="L28" s="292"/>
    </row>
    <row r="29" spans="2:12" ht="12.75">
      <c r="B29" t="s">
        <v>176</v>
      </c>
      <c r="C29" s="293" t="s">
        <v>177</v>
      </c>
      <c r="D29" s="27"/>
      <c r="E29" s="291"/>
      <c r="F29" s="292"/>
      <c r="H29" t="s">
        <v>176</v>
      </c>
      <c r="I29" s="293" t="s">
        <v>177</v>
      </c>
      <c r="J29" s="27"/>
      <c r="K29" s="291"/>
      <c r="L29" s="292"/>
    </row>
    <row r="30" spans="2:12" ht="12.75">
      <c r="B30" t="s">
        <v>178</v>
      </c>
      <c r="C30" s="276">
        <v>15</v>
      </c>
      <c r="D30" s="294"/>
      <c r="E30" s="27"/>
      <c r="F30" s="27"/>
      <c r="H30" t="s">
        <v>178</v>
      </c>
      <c r="I30" s="276">
        <v>15</v>
      </c>
      <c r="J30" s="294"/>
      <c r="K30" s="27"/>
      <c r="L30" s="27"/>
    </row>
    <row r="31" spans="2:12" ht="12.75">
      <c r="B31" t="s">
        <v>179</v>
      </c>
      <c r="C31" s="295">
        <f>+C30+C27</f>
        <v>35</v>
      </c>
      <c r="D31" s="294"/>
      <c r="E31" s="27"/>
      <c r="F31" s="27"/>
      <c r="H31" t="s">
        <v>179</v>
      </c>
      <c r="I31" s="295">
        <f>+I30+I27</f>
        <v>40</v>
      </c>
      <c r="J31" s="294"/>
      <c r="K31" s="27"/>
      <c r="L31" s="27"/>
    </row>
    <row r="32" spans="2:12" ht="12.75">
      <c r="B32" t="s">
        <v>170</v>
      </c>
      <c r="C32" s="276">
        <v>0</v>
      </c>
      <c r="D32" s="274">
        <f>IF(C32,+((9+10)/10)*$C$11,0)</f>
        <v>0</v>
      </c>
      <c r="E32" s="277">
        <f>+D32*C32</f>
        <v>0</v>
      </c>
      <c r="F32" s="278">
        <f>+F27-E32/Tauchgangsplanung</f>
        <v>93.33333333333333</v>
      </c>
      <c r="H32" t="s">
        <v>170</v>
      </c>
      <c r="I32" s="276">
        <v>0</v>
      </c>
      <c r="J32" s="274">
        <f>IF(I32,+((9+10)/10)*$C$11,0)</f>
        <v>0</v>
      </c>
      <c r="K32" s="277">
        <f>+J32*I32</f>
        <v>0</v>
      </c>
      <c r="L32" s="278">
        <f>+L27-K32/Tauchgangsplanung</f>
        <v>66.66666666666666</v>
      </c>
    </row>
    <row r="33" spans="2:12" ht="12.75">
      <c r="B33" t="s">
        <v>171</v>
      </c>
      <c r="C33" s="276">
        <v>6</v>
      </c>
      <c r="D33" s="274">
        <f>IF(C33,+((6+10)/10)*$C$11,0)</f>
        <v>32</v>
      </c>
      <c r="E33" s="277">
        <f>+D33*C33</f>
        <v>192</v>
      </c>
      <c r="F33" s="278">
        <f>+F32-E33/Tauchgangsplanung</f>
        <v>80.53333333333333</v>
      </c>
      <c r="H33" t="s">
        <v>171</v>
      </c>
      <c r="I33" s="276">
        <v>1</v>
      </c>
      <c r="J33" s="274">
        <f>IF(I33,+((6+10)/10)*$C$11,0)</f>
        <v>32</v>
      </c>
      <c r="K33" s="277">
        <f>+J33*I33</f>
        <v>32</v>
      </c>
      <c r="L33" s="278">
        <f>+L32-K33/Tauchgangsplanung</f>
        <v>64.53333333333332</v>
      </c>
    </row>
    <row r="34" spans="2:12" ht="12.75">
      <c r="B34" t="s">
        <v>172</v>
      </c>
      <c r="C34" s="276">
        <v>15</v>
      </c>
      <c r="D34" s="274">
        <f>IF(C34,+((3+10)/10)*$C$11,0)</f>
        <v>26</v>
      </c>
      <c r="E34" s="277">
        <f>+D34*C34</f>
        <v>390</v>
      </c>
      <c r="F34" s="278">
        <f>+F33-E34/Tauchgangsplanung</f>
        <v>54.53333333333333</v>
      </c>
      <c r="H34" t="s">
        <v>172</v>
      </c>
      <c r="I34" s="276">
        <v>12</v>
      </c>
      <c r="J34" s="274">
        <f>IF(I34,+((3+10)/10)*$C$11,0)</f>
        <v>26</v>
      </c>
      <c r="K34" s="277">
        <f>+J34*I34</f>
        <v>312</v>
      </c>
      <c r="L34" s="278">
        <f>+L33-K34/Tauchgangsplanung</f>
        <v>43.73333333333332</v>
      </c>
    </row>
    <row r="35" spans="2:12" ht="13.5" thickBot="1">
      <c r="B35" s="279" t="s">
        <v>173</v>
      </c>
      <c r="C35" s="280">
        <f>+C34+C33+C32+C27</f>
        <v>41</v>
      </c>
      <c r="D35" s="281"/>
      <c r="E35" s="282">
        <f>SUM(E32:E34)+E27</f>
        <v>2182</v>
      </c>
      <c r="F35" s="283">
        <f>+$C$9-E35/12</f>
        <v>18.166666666666657</v>
      </c>
      <c r="H35" s="279" t="s">
        <v>173</v>
      </c>
      <c r="I35" s="280">
        <f>+I34+I33+I32+I27</f>
        <v>38</v>
      </c>
      <c r="J35" s="281"/>
      <c r="K35" s="282">
        <f>SUM(K32:K34)+K27</f>
        <v>2344</v>
      </c>
      <c r="L35" s="283">
        <f>+$C$9-K35/12</f>
        <v>4.666666666666657</v>
      </c>
    </row>
    <row r="36" ht="13.5" thickTop="1"/>
    <row r="37" ht="12.75">
      <c r="B37" t="s">
        <v>283</v>
      </c>
    </row>
    <row r="38" ht="12.75">
      <c r="L38" s="299" t="s">
        <v>117</v>
      </c>
    </row>
  </sheetData>
  <sheetProtection/>
  <hyperlinks>
    <hyperlink ref="A1" location="Cockpit!B4" tooltip="Home" display="Home"/>
    <hyperlink ref="L38" location="Cockpit!B4" tooltip="Home" display="Home"/>
  </hyperlinks>
  <printOptions/>
  <pageMargins left="0.787401575" right="0.787401575" top="0.984251969" bottom="0.984251969"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M56"/>
  <sheetViews>
    <sheetView showGridLines="0" showRowColHeaders="0" zoomScale="120" zoomScaleNormal="120" zoomScalePageLayoutView="0" workbookViewId="0" topLeftCell="A1">
      <pane ySplit="4" topLeftCell="A20" activePane="bottomLeft" state="frozen"/>
      <selection pane="topLeft" activeCell="A1" sqref="A1"/>
      <selection pane="bottomLeft" activeCell="A1" sqref="A1"/>
    </sheetView>
  </sheetViews>
  <sheetFormatPr defaultColWidth="11.421875" defaultRowHeight="12.75"/>
  <cols>
    <col min="1" max="1" width="5.7109375" style="0" customWidth="1"/>
    <col min="2" max="2" width="14.28125" style="0" customWidth="1"/>
    <col min="3" max="3" width="12.7109375" style="0" bestFit="1" customWidth="1"/>
    <col min="4" max="4" width="0.71875" style="3" customWidth="1"/>
    <col min="5" max="5" width="12.00390625" style="0" bestFit="1" customWidth="1"/>
    <col min="6" max="6" width="0.71875" style="3" customWidth="1"/>
    <col min="7" max="7" width="12.28125" style="0" bestFit="1" customWidth="1"/>
    <col min="8" max="8" width="0.71875" style="3" customWidth="1"/>
    <col min="9" max="9" width="11.57421875" style="0" bestFit="1" customWidth="1"/>
    <col min="10" max="10" width="0.71875" style="3" customWidth="1"/>
    <col min="11" max="11" width="27.140625" style="0" customWidth="1"/>
    <col min="12" max="12" width="1.28515625" style="0" customWidth="1"/>
  </cols>
  <sheetData>
    <row r="1" spans="1:11" ht="24.75" customHeight="1">
      <c r="A1" s="299" t="s">
        <v>117</v>
      </c>
      <c r="B1" s="130" t="s">
        <v>102</v>
      </c>
      <c r="C1" s="27"/>
      <c r="D1" s="27"/>
      <c r="E1" s="27"/>
      <c r="F1" s="27"/>
      <c r="G1" s="27"/>
      <c r="H1" s="27"/>
      <c r="I1" s="27"/>
      <c r="J1" s="27"/>
      <c r="K1" s="27"/>
    </row>
    <row r="2" spans="2:11" ht="12.75">
      <c r="B2" s="131" t="s">
        <v>103</v>
      </c>
      <c r="C2" s="27"/>
      <c r="D2" s="27"/>
      <c r="E2" s="27"/>
      <c r="F2" s="27"/>
      <c r="G2" s="27"/>
      <c r="H2" s="27"/>
      <c r="I2" s="27"/>
      <c r="J2" s="27"/>
      <c r="K2" s="132" t="s">
        <v>101</v>
      </c>
    </row>
    <row r="3" ht="1.5" customHeight="1"/>
    <row r="4" spans="1:11" ht="12.75">
      <c r="A4" s="54"/>
      <c r="B4" s="19" t="s">
        <v>86</v>
      </c>
      <c r="C4" s="20"/>
      <c r="D4" s="20"/>
      <c r="E4" s="20"/>
      <c r="F4" s="20"/>
      <c r="G4" s="20"/>
      <c r="H4" s="20"/>
      <c r="I4" s="20"/>
      <c r="J4" s="20"/>
      <c r="K4" s="19" t="s">
        <v>12</v>
      </c>
    </row>
    <row r="5" spans="2:11" ht="12.75">
      <c r="B5" s="1"/>
      <c r="K5" s="1"/>
    </row>
    <row r="6" spans="2:11" ht="33.75">
      <c r="B6" s="21" t="s">
        <v>29</v>
      </c>
      <c r="C6" s="22"/>
      <c r="D6" s="22"/>
      <c r="E6" s="22"/>
      <c r="F6" s="22"/>
      <c r="G6" s="22"/>
      <c r="H6" s="22"/>
      <c r="I6" s="22"/>
      <c r="J6" s="22"/>
      <c r="K6" s="81" t="s">
        <v>34</v>
      </c>
    </row>
    <row r="7" spans="2:11" ht="12.75">
      <c r="B7" s="134" t="s">
        <v>104</v>
      </c>
      <c r="C7" s="68" t="s">
        <v>4</v>
      </c>
      <c r="D7" s="44"/>
      <c r="E7" s="69" t="s">
        <v>3</v>
      </c>
      <c r="F7" s="44"/>
      <c r="G7" s="52"/>
      <c r="H7" s="44"/>
      <c r="I7" s="69" t="s">
        <v>33</v>
      </c>
      <c r="J7" s="44"/>
      <c r="K7" s="101"/>
    </row>
    <row r="8" spans="2:11" ht="12.75">
      <c r="B8" s="133" t="s">
        <v>105</v>
      </c>
      <c r="C8" s="79" t="s">
        <v>24</v>
      </c>
      <c r="D8" s="55"/>
      <c r="E8" s="75" t="s">
        <v>32</v>
      </c>
      <c r="F8" s="55"/>
      <c r="G8" s="80"/>
      <c r="H8" s="55"/>
      <c r="I8" s="54"/>
      <c r="J8" s="55"/>
      <c r="K8" s="107"/>
    </row>
    <row r="9" spans="2:11" ht="12.75">
      <c r="B9" s="67" t="s">
        <v>3</v>
      </c>
      <c r="C9" s="115">
        <v>10</v>
      </c>
      <c r="D9" s="116"/>
      <c r="E9" s="86"/>
      <c r="F9" s="116"/>
      <c r="G9" s="138"/>
      <c r="H9" s="116"/>
      <c r="I9" s="117">
        <f>(C9+10)/10</f>
        <v>2</v>
      </c>
      <c r="J9" s="116"/>
      <c r="K9" s="139" t="s">
        <v>30</v>
      </c>
    </row>
    <row r="10" spans="2:11" ht="12.75">
      <c r="B10" s="67" t="s">
        <v>4</v>
      </c>
      <c r="C10" s="118"/>
      <c r="D10" s="116"/>
      <c r="E10" s="119">
        <v>2</v>
      </c>
      <c r="F10" s="116"/>
      <c r="G10" s="138"/>
      <c r="H10" s="116"/>
      <c r="I10" s="120">
        <f>(E10*10)-10</f>
        <v>10</v>
      </c>
      <c r="J10" s="116"/>
      <c r="K10" s="139" t="s">
        <v>31</v>
      </c>
    </row>
    <row r="12" spans="4:11" ht="12.75">
      <c r="D12"/>
      <c r="F12"/>
      <c r="H12"/>
      <c r="J12"/>
      <c r="K12" s="188"/>
    </row>
    <row r="13" spans="2:11" ht="12.75">
      <c r="B13" s="31" t="s">
        <v>84</v>
      </c>
      <c r="C13" s="31"/>
      <c r="D13" s="31"/>
      <c r="E13" s="31"/>
      <c r="F13" s="31"/>
      <c r="G13" s="31"/>
      <c r="H13" s="31"/>
      <c r="I13" s="31"/>
      <c r="J13" s="31"/>
      <c r="K13" s="189" t="s">
        <v>113</v>
      </c>
    </row>
    <row r="14" spans="2:11" ht="15">
      <c r="B14" s="18"/>
      <c r="C14" s="41" t="s">
        <v>77</v>
      </c>
      <c r="D14" s="43"/>
      <c r="E14" s="43" t="s">
        <v>78</v>
      </c>
      <c r="F14" s="43"/>
      <c r="G14" s="140" t="s">
        <v>4</v>
      </c>
      <c r="H14" s="143"/>
      <c r="I14" s="43" t="s">
        <v>79</v>
      </c>
      <c r="J14" s="144"/>
      <c r="K14" s="82"/>
    </row>
    <row r="15" spans="2:11" ht="22.5">
      <c r="B15" s="13"/>
      <c r="C15" s="79" t="s">
        <v>80</v>
      </c>
      <c r="D15" s="54"/>
      <c r="E15" s="75" t="s">
        <v>82</v>
      </c>
      <c r="F15" s="54"/>
      <c r="G15" s="141" t="s">
        <v>83</v>
      </c>
      <c r="H15" s="99"/>
      <c r="I15" s="75" t="s">
        <v>81</v>
      </c>
      <c r="J15" s="80"/>
      <c r="K15" s="83" t="s">
        <v>95</v>
      </c>
    </row>
    <row r="16" spans="2:11" ht="12.75">
      <c r="B16" s="59" t="s">
        <v>76</v>
      </c>
      <c r="C16" s="85">
        <v>1</v>
      </c>
      <c r="D16" s="86"/>
      <c r="E16" s="87">
        <v>1</v>
      </c>
      <c r="F16" s="86"/>
      <c r="G16" s="142">
        <v>10</v>
      </c>
      <c r="H16" s="145"/>
      <c r="I16" s="88">
        <f>+G16/10+1</f>
        <v>2</v>
      </c>
      <c r="J16" s="138"/>
      <c r="K16" s="89">
        <f>+(C16*E16)/I16</f>
        <v>0.5</v>
      </c>
    </row>
    <row r="18" spans="2:11" ht="12.75">
      <c r="B18" s="28" t="s">
        <v>20</v>
      </c>
      <c r="C18" s="22"/>
      <c r="D18" s="22"/>
      <c r="E18" s="22"/>
      <c r="F18" s="22"/>
      <c r="G18" s="22"/>
      <c r="H18" s="22"/>
      <c r="I18" s="22"/>
      <c r="J18" s="22"/>
      <c r="K18" s="29" t="s">
        <v>14</v>
      </c>
    </row>
    <row r="19" spans="3:11" ht="15.75">
      <c r="C19" s="49" t="s">
        <v>10</v>
      </c>
      <c r="D19" s="90"/>
      <c r="E19" s="51" t="s">
        <v>15</v>
      </c>
      <c r="F19" s="44"/>
      <c r="G19" s="146" t="s">
        <v>16</v>
      </c>
      <c r="H19" s="148"/>
      <c r="I19" s="70" t="s">
        <v>3</v>
      </c>
      <c r="J19" s="44"/>
      <c r="K19" s="52"/>
    </row>
    <row r="20" spans="3:11" ht="67.5">
      <c r="C20" s="79" t="s">
        <v>7</v>
      </c>
      <c r="D20" s="91"/>
      <c r="E20" s="75" t="s">
        <v>17</v>
      </c>
      <c r="F20" s="55"/>
      <c r="G20" s="141" t="s">
        <v>18</v>
      </c>
      <c r="H20" s="149"/>
      <c r="I20" s="141" t="s">
        <v>19</v>
      </c>
      <c r="J20" s="55"/>
      <c r="K20" s="83" t="s">
        <v>22</v>
      </c>
    </row>
    <row r="21" spans="2:11" ht="12.75">
      <c r="B21" s="59" t="s">
        <v>21</v>
      </c>
      <c r="C21" s="92">
        <v>0.209</v>
      </c>
      <c r="D21" s="93"/>
      <c r="E21" s="94">
        <v>0.781</v>
      </c>
      <c r="F21" s="93"/>
      <c r="G21" s="147">
        <v>0.01</v>
      </c>
      <c r="H21" s="150"/>
      <c r="I21" s="151">
        <f>+G21+E21+C21</f>
        <v>1</v>
      </c>
      <c r="J21" s="12"/>
      <c r="K21" s="56"/>
    </row>
    <row r="22" spans="2:9" ht="12.75">
      <c r="B22" s="1"/>
      <c r="C22" s="2"/>
      <c r="D22" s="4"/>
      <c r="E22" s="2"/>
      <c r="F22" s="5"/>
      <c r="G22" s="2"/>
      <c r="H22" s="5"/>
      <c r="I22" s="6"/>
    </row>
    <row r="23" spans="2:11" ht="12.75">
      <c r="B23" s="23" t="s">
        <v>53</v>
      </c>
      <c r="C23" s="24"/>
      <c r="D23" s="24"/>
      <c r="E23" s="24"/>
      <c r="F23" s="25"/>
      <c r="G23" s="24"/>
      <c r="H23" s="25"/>
      <c r="I23" s="26"/>
      <c r="J23" s="27"/>
      <c r="K23" s="27" t="s">
        <v>23</v>
      </c>
    </row>
    <row r="24" spans="2:9" ht="12.75">
      <c r="B24" s="9"/>
      <c r="C24" s="2"/>
      <c r="D24" s="4"/>
      <c r="E24" s="2"/>
      <c r="F24" s="5"/>
      <c r="G24" s="2"/>
      <c r="H24" s="5"/>
      <c r="I24" s="6"/>
    </row>
    <row r="25" spans="2:11" ht="15.75">
      <c r="B25" s="9"/>
      <c r="C25" s="49" t="s">
        <v>99</v>
      </c>
      <c r="D25" s="110"/>
      <c r="E25" s="69" t="s">
        <v>4</v>
      </c>
      <c r="F25" s="111"/>
      <c r="G25" s="70" t="s">
        <v>3</v>
      </c>
      <c r="H25" s="111"/>
      <c r="I25" s="146" t="s">
        <v>100</v>
      </c>
      <c r="J25" s="44"/>
      <c r="K25" s="112"/>
    </row>
    <row r="26" spans="2:11" ht="45">
      <c r="B26" s="118" t="s">
        <v>98</v>
      </c>
      <c r="C26" s="53" t="s">
        <v>6</v>
      </c>
      <c r="D26" s="14"/>
      <c r="E26" s="11" t="s">
        <v>24</v>
      </c>
      <c r="F26" s="15"/>
      <c r="G26" s="63" t="s">
        <v>25</v>
      </c>
      <c r="H26" s="15"/>
      <c r="I26" s="63" t="s">
        <v>26</v>
      </c>
      <c r="J26" s="12"/>
      <c r="K26" s="113" t="s">
        <v>85</v>
      </c>
    </row>
    <row r="27" spans="2:11" ht="15.75">
      <c r="B27" s="121" t="s">
        <v>96</v>
      </c>
      <c r="C27" s="108">
        <v>0.209</v>
      </c>
      <c r="D27" s="14"/>
      <c r="E27" s="73">
        <v>40</v>
      </c>
      <c r="F27" s="15"/>
      <c r="G27" s="152">
        <f>+(E27+10)/10</f>
        <v>5</v>
      </c>
      <c r="H27" s="15"/>
      <c r="I27" s="152">
        <f>+C27*G27</f>
        <v>1.045</v>
      </c>
      <c r="J27" s="12"/>
      <c r="K27" s="113"/>
    </row>
    <row r="28" spans="2:13" ht="15.75">
      <c r="B28" s="121" t="s">
        <v>97</v>
      </c>
      <c r="C28" s="125">
        <v>0.791</v>
      </c>
      <c r="D28" s="122"/>
      <c r="E28" s="73">
        <v>40</v>
      </c>
      <c r="F28" s="123"/>
      <c r="G28" s="152">
        <f>+(E28+10)/10</f>
        <v>5</v>
      </c>
      <c r="H28" s="123"/>
      <c r="I28" s="152">
        <f>+C28*G28</f>
        <v>3.955</v>
      </c>
      <c r="J28" s="116"/>
      <c r="K28" s="124"/>
      <c r="M28" s="126"/>
    </row>
    <row r="30" spans="2:11" ht="12.75">
      <c r="B30" s="28" t="s">
        <v>5</v>
      </c>
      <c r="C30" s="22"/>
      <c r="D30" s="22"/>
      <c r="E30" s="22"/>
      <c r="F30" s="22"/>
      <c r="G30" s="22"/>
      <c r="H30" s="22"/>
      <c r="I30" s="22"/>
      <c r="J30" s="22"/>
      <c r="K30" s="29" t="s">
        <v>13</v>
      </c>
    </row>
    <row r="32" spans="3:11" ht="15.75">
      <c r="C32" s="49" t="s">
        <v>10</v>
      </c>
      <c r="D32" s="90"/>
      <c r="E32" s="51" t="s">
        <v>11</v>
      </c>
      <c r="F32" s="90"/>
      <c r="G32" s="70" t="s">
        <v>3</v>
      </c>
      <c r="H32" s="90"/>
      <c r="I32" s="69" t="s">
        <v>4</v>
      </c>
      <c r="J32" s="90"/>
      <c r="K32" s="101"/>
    </row>
    <row r="33" spans="2:11" ht="67.5">
      <c r="B33" s="13"/>
      <c r="C33" s="53" t="s">
        <v>7</v>
      </c>
      <c r="D33" s="16"/>
      <c r="E33" s="11" t="s">
        <v>6</v>
      </c>
      <c r="F33" s="16"/>
      <c r="G33" s="63" t="s">
        <v>9</v>
      </c>
      <c r="H33" s="16"/>
      <c r="I33" s="11" t="s">
        <v>8</v>
      </c>
      <c r="J33" s="95"/>
      <c r="K33" s="102" t="s">
        <v>278</v>
      </c>
    </row>
    <row r="34" spans="2:11" ht="12.75">
      <c r="B34" s="77" t="s">
        <v>2</v>
      </c>
      <c r="C34" s="96">
        <v>1.4</v>
      </c>
      <c r="D34" s="97"/>
      <c r="E34" s="98">
        <v>0.32</v>
      </c>
      <c r="F34" s="97"/>
      <c r="G34" s="153">
        <f>+C34/E34</f>
        <v>4.375</v>
      </c>
      <c r="H34" s="97"/>
      <c r="I34" s="76">
        <f>+(G34*10)-10</f>
        <v>33.75</v>
      </c>
      <c r="J34" s="97"/>
      <c r="K34" s="103"/>
    </row>
    <row r="35" spans="2:11" ht="12.75">
      <c r="B35" s="104"/>
      <c r="C35" s="99"/>
      <c r="D35" s="55"/>
      <c r="E35" s="54"/>
      <c r="F35" s="55"/>
      <c r="G35" s="80"/>
      <c r="H35" s="55"/>
      <c r="I35" s="127"/>
      <c r="J35" s="55"/>
      <c r="K35" s="104"/>
    </row>
    <row r="36" spans="2:11" ht="12.75">
      <c r="B36" s="107" t="s">
        <v>2</v>
      </c>
      <c r="C36" s="96">
        <v>1.6</v>
      </c>
      <c r="D36" s="97"/>
      <c r="E36" s="98">
        <v>0.32</v>
      </c>
      <c r="F36" s="97"/>
      <c r="G36" s="153">
        <f>+C36/E36</f>
        <v>5</v>
      </c>
      <c r="H36" s="97"/>
      <c r="I36" s="76">
        <f>+(G36*10)-10</f>
        <v>40</v>
      </c>
      <c r="J36" s="55"/>
      <c r="K36" s="105" t="s">
        <v>27</v>
      </c>
    </row>
    <row r="37" spans="2:11" ht="12.75">
      <c r="B37" s="104"/>
      <c r="C37" s="99"/>
      <c r="D37" s="55"/>
      <c r="E37" s="54"/>
      <c r="F37" s="55"/>
      <c r="G37" s="80"/>
      <c r="H37" s="55"/>
      <c r="I37" s="127"/>
      <c r="J37" s="55"/>
      <c r="K37" s="104"/>
    </row>
    <row r="38" spans="2:11" ht="12.75">
      <c r="B38" s="78" t="s">
        <v>2</v>
      </c>
      <c r="C38" s="84">
        <v>1.6</v>
      </c>
      <c r="D38" s="35"/>
      <c r="E38" s="100">
        <v>0.21</v>
      </c>
      <c r="F38" s="35"/>
      <c r="G38" s="152">
        <f>+C38/E38</f>
        <v>7.6190476190476195</v>
      </c>
      <c r="H38" s="35"/>
      <c r="I38" s="128">
        <f>+(G38*10)-10</f>
        <v>66.19047619047619</v>
      </c>
      <c r="J38" s="12"/>
      <c r="K38" s="106" t="s">
        <v>28</v>
      </c>
    </row>
    <row r="39" spans="2:11" ht="12.75">
      <c r="B39" s="8"/>
      <c r="C39" s="8"/>
      <c r="D39" s="7"/>
      <c r="E39" s="8"/>
      <c r="F39" s="7"/>
      <c r="G39" s="8"/>
      <c r="H39" s="7"/>
      <c r="I39" s="8"/>
      <c r="J39" s="7"/>
      <c r="K39" s="8"/>
    </row>
    <row r="41" spans="2:11" ht="12.75">
      <c r="B41" s="30" t="s">
        <v>35</v>
      </c>
      <c r="C41" s="27"/>
      <c r="D41" s="27"/>
      <c r="E41" s="27"/>
      <c r="F41" s="27"/>
      <c r="G41" s="27"/>
      <c r="H41" s="27"/>
      <c r="I41" s="27"/>
      <c r="J41" s="27"/>
      <c r="K41" s="27" t="s">
        <v>39</v>
      </c>
    </row>
    <row r="42" ht="12.75">
      <c r="K42" s="17"/>
    </row>
    <row r="43" spans="3:11" ht="15.75">
      <c r="C43" s="49" t="s">
        <v>11</v>
      </c>
      <c r="D43" s="44"/>
      <c r="E43" s="69" t="s">
        <v>4</v>
      </c>
      <c r="F43" s="44"/>
      <c r="G43" s="52"/>
      <c r="H43" s="44"/>
      <c r="I43" s="70" t="s">
        <v>37</v>
      </c>
      <c r="K43" s="109"/>
    </row>
    <row r="44" spans="2:11" ht="33.75">
      <c r="B44" s="80"/>
      <c r="C44" s="53" t="s">
        <v>6</v>
      </c>
      <c r="D44" s="12"/>
      <c r="E44" s="11" t="s">
        <v>38</v>
      </c>
      <c r="F44" s="12"/>
      <c r="G44" s="56"/>
      <c r="H44" s="12"/>
      <c r="I44" s="56"/>
      <c r="K44" s="102" t="s">
        <v>279</v>
      </c>
    </row>
    <row r="45" spans="2:11" ht="22.5">
      <c r="B45" s="59" t="s">
        <v>36</v>
      </c>
      <c r="C45" s="108">
        <v>0.32</v>
      </c>
      <c r="D45" s="12"/>
      <c r="E45" s="73">
        <v>40</v>
      </c>
      <c r="F45" s="12"/>
      <c r="G45" s="56"/>
      <c r="H45" s="12"/>
      <c r="I45" s="129">
        <f>IF(I46&gt;1.6,"PO2&gt;1,6!!",+(((1-C45)/0.79)*(E45+10))-10)</f>
        <v>33.0379746835443</v>
      </c>
      <c r="K45" s="102" t="s">
        <v>280</v>
      </c>
    </row>
    <row r="46" spans="2:11" ht="15.75">
      <c r="B46" s="121" t="s">
        <v>96</v>
      </c>
      <c r="C46" s="453"/>
      <c r="D46" s="122"/>
      <c r="E46" s="454"/>
      <c r="F46" s="123"/>
      <c r="G46" s="455">
        <f>+(E45+10)/10</f>
        <v>5</v>
      </c>
      <c r="H46" s="15"/>
      <c r="I46" s="152">
        <f>+C45*G46</f>
        <v>1.6</v>
      </c>
      <c r="K46" s="106"/>
    </row>
    <row r="47" ht="12.75">
      <c r="B47" s="114"/>
    </row>
    <row r="48" spans="2:11" ht="12.75">
      <c r="B48" s="30" t="s">
        <v>321</v>
      </c>
      <c r="C48" s="27"/>
      <c r="D48" s="27"/>
      <c r="E48" s="27"/>
      <c r="F48" s="27"/>
      <c r="G48" s="27"/>
      <c r="H48" s="27"/>
      <c r="I48" s="27"/>
      <c r="J48" s="27"/>
      <c r="K48" s="547" t="s">
        <v>325</v>
      </c>
    </row>
    <row r="49" ht="12.75">
      <c r="K49" s="17"/>
    </row>
    <row r="50" spans="3:11" ht="15.75">
      <c r="C50" s="68" t="s">
        <v>4</v>
      </c>
      <c r="D50" s="542"/>
      <c r="E50" s="548" t="s">
        <v>3</v>
      </c>
      <c r="G50" s="49" t="s">
        <v>323</v>
      </c>
      <c r="H50" s="44"/>
      <c r="I50" s="49" t="s">
        <v>323</v>
      </c>
      <c r="J50" s="44"/>
      <c r="K50" s="109"/>
    </row>
    <row r="51" spans="2:11" ht="45">
      <c r="B51" s="80"/>
      <c r="C51" s="53" t="s">
        <v>38</v>
      </c>
      <c r="D51" s="543"/>
      <c r="E51" s="549" t="s">
        <v>326</v>
      </c>
      <c r="G51" s="53" t="s">
        <v>6</v>
      </c>
      <c r="H51" s="12"/>
      <c r="I51" s="53" t="s">
        <v>6</v>
      </c>
      <c r="J51" s="12"/>
      <c r="K51" s="102" t="s">
        <v>322</v>
      </c>
    </row>
    <row r="52" spans="2:11" ht="12.75">
      <c r="B52" s="59" t="s">
        <v>36</v>
      </c>
      <c r="C52" s="57">
        <v>40</v>
      </c>
      <c r="D52" s="543"/>
      <c r="E52" s="550">
        <f>+C52*0.1+1</f>
        <v>5</v>
      </c>
      <c r="G52" s="539">
        <v>1.4</v>
      </c>
      <c r="H52" s="540"/>
      <c r="I52" s="539">
        <v>1.6</v>
      </c>
      <c r="J52" s="116"/>
      <c r="K52" s="102"/>
    </row>
    <row r="53" spans="2:11" ht="15.75">
      <c r="B53" s="121" t="s">
        <v>324</v>
      </c>
      <c r="C53" s="545">
        <v>0</v>
      </c>
      <c r="D53" s="544"/>
      <c r="E53" s="546"/>
      <c r="G53" s="551">
        <f>IF(E52&gt;=6.6,21,IF(E52&gt;1.4,+G52/E52*100,100))</f>
        <v>27.999999999999996</v>
      </c>
      <c r="H53" s="541"/>
      <c r="I53" s="551">
        <f>IF(E52&gt;=7.6,21,IF(E52&gt;1.6,+I52/E52*100,100))</f>
        <v>32</v>
      </c>
      <c r="J53" s="122"/>
      <c r="K53" s="106"/>
    </row>
    <row r="56" ht="12.75">
      <c r="K56" s="299" t="s">
        <v>117</v>
      </c>
    </row>
  </sheetData>
  <sheetProtection/>
  <hyperlinks>
    <hyperlink ref="A1" location="Cockpit!B4" tooltip="Home" display="Home"/>
    <hyperlink ref="K56" location="Cockpit!B4" tooltip="Home" display="Home"/>
  </hyperlinks>
  <printOptions/>
  <pageMargins left="0.6" right="0.34" top="0.5" bottom="0.62" header="0.25" footer="0.46"/>
  <pageSetup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B1:AB52"/>
  <sheetViews>
    <sheetView showGridLines="0" showRowColHeaders="0" zoomScalePageLayoutView="0" workbookViewId="0" topLeftCell="A1">
      <pane xSplit="1" ySplit="5" topLeftCell="B6" activePane="bottomRight" state="frozen"/>
      <selection pane="topLeft" activeCell="A1" sqref="A1"/>
      <selection pane="topRight" activeCell="B1" sqref="B1"/>
      <selection pane="bottomLeft" activeCell="A2" sqref="A2"/>
      <selection pane="bottomRight" activeCell="B4" sqref="B4"/>
    </sheetView>
  </sheetViews>
  <sheetFormatPr defaultColWidth="11.421875" defaultRowHeight="12.75"/>
  <cols>
    <col min="1" max="1" width="0.85546875" style="0" customWidth="1"/>
    <col min="2" max="2" width="11.7109375" style="0" customWidth="1"/>
    <col min="3" max="3" width="28.8515625" style="0" customWidth="1"/>
    <col min="5" max="5" width="2.28125" style="0" customWidth="1"/>
    <col min="6" max="6" width="12.00390625" style="0" bestFit="1" customWidth="1"/>
    <col min="7" max="7" width="2.28125" style="0" customWidth="1"/>
    <col min="8" max="8" width="9.8515625" style="0" bestFit="1" customWidth="1"/>
    <col min="9" max="9" width="7.28125" style="0" customWidth="1"/>
    <col min="10" max="10" width="2.28125" style="0" customWidth="1"/>
    <col min="12" max="12" width="9.00390625" style="0" bestFit="1" customWidth="1"/>
    <col min="13" max="13" width="2.28125" style="0" customWidth="1"/>
    <col min="15" max="15" width="10.28125" style="0" customWidth="1"/>
    <col min="16" max="16" width="1.421875" style="0" customWidth="1"/>
  </cols>
  <sheetData>
    <row r="1" spans="2:16" ht="12.75">
      <c r="B1" s="130" t="s">
        <v>102</v>
      </c>
      <c r="C1" s="27"/>
      <c r="D1" s="27"/>
      <c r="E1" s="27"/>
      <c r="F1" s="27"/>
      <c r="G1" s="27"/>
      <c r="H1" s="27"/>
      <c r="I1" s="27"/>
      <c r="J1" s="27"/>
      <c r="K1" s="27"/>
      <c r="L1" s="27"/>
      <c r="M1" s="27"/>
      <c r="N1" s="27"/>
      <c r="O1" s="27"/>
      <c r="P1" s="27"/>
    </row>
    <row r="2" spans="2:16" ht="12.75">
      <c r="B2" s="131" t="s">
        <v>103</v>
      </c>
      <c r="C2" s="27"/>
      <c r="D2" s="27"/>
      <c r="E2" s="27"/>
      <c r="F2" s="27"/>
      <c r="G2" s="27"/>
      <c r="H2" s="27"/>
      <c r="I2" s="27"/>
      <c r="J2" s="27"/>
      <c r="K2" s="27"/>
      <c r="L2" s="27"/>
      <c r="M2" s="27"/>
      <c r="N2" s="27"/>
      <c r="O2" s="132" t="s">
        <v>101</v>
      </c>
      <c r="P2" s="27"/>
    </row>
    <row r="4" spans="2:16" ht="18">
      <c r="B4" s="299" t="s">
        <v>117</v>
      </c>
      <c r="C4" s="460" t="s">
        <v>284</v>
      </c>
      <c r="D4" s="198"/>
      <c r="E4" s="198"/>
      <c r="F4" s="198"/>
      <c r="G4" s="198"/>
      <c r="H4" s="198"/>
      <c r="I4" s="198"/>
      <c r="J4" s="198"/>
      <c r="K4" s="198"/>
      <c r="L4" s="198"/>
      <c r="M4" s="198"/>
      <c r="N4" s="198"/>
      <c r="O4" s="198"/>
      <c r="P4" s="538"/>
    </row>
    <row r="5" spans="15:16" ht="12.75">
      <c r="O5" s="171"/>
      <c r="P5" s="208" t="s">
        <v>104</v>
      </c>
    </row>
    <row r="6" spans="15:16" ht="12.75">
      <c r="O6" s="170"/>
      <c r="P6" s="461" t="s">
        <v>105</v>
      </c>
    </row>
    <row r="8" ht="12.75">
      <c r="B8" t="s">
        <v>285</v>
      </c>
    </row>
    <row r="9" ht="12.75">
      <c r="B9" t="s">
        <v>286</v>
      </c>
    </row>
    <row r="10" ht="13.5" thickBot="1"/>
    <row r="11" spans="2:16" ht="12.75">
      <c r="B11" s="462"/>
      <c r="C11" s="463"/>
      <c r="D11" s="463"/>
      <c r="E11" s="463"/>
      <c r="F11" s="463"/>
      <c r="G11" s="463"/>
      <c r="H11" s="463"/>
      <c r="I11" s="463"/>
      <c r="J11" s="463"/>
      <c r="K11" s="463"/>
      <c r="L11" s="463"/>
      <c r="M11" s="463"/>
      <c r="N11" s="463"/>
      <c r="O11" s="463"/>
      <c r="P11" s="464"/>
    </row>
    <row r="12" spans="2:16" ht="12.75">
      <c r="B12" s="565" t="s">
        <v>287</v>
      </c>
      <c r="C12" s="465" t="s">
        <v>288</v>
      </c>
      <c r="D12" s="466">
        <v>10</v>
      </c>
      <c r="E12" s="54"/>
      <c r="F12" s="467" t="s">
        <v>184</v>
      </c>
      <c r="G12" s="54"/>
      <c r="H12" s="468" t="s">
        <v>289</v>
      </c>
      <c r="I12" s="469"/>
      <c r="J12" s="54"/>
      <c r="K12" s="469" t="s">
        <v>290</v>
      </c>
      <c r="L12" s="468"/>
      <c r="M12" s="54"/>
      <c r="N12" s="469" t="s">
        <v>291</v>
      </c>
      <c r="O12" s="468"/>
      <c r="P12" s="470"/>
    </row>
    <row r="13" spans="2:16" ht="33.75" customHeight="1">
      <c r="B13" s="566"/>
      <c r="C13" s="471" t="s">
        <v>292</v>
      </c>
      <c r="D13" s="472">
        <v>50</v>
      </c>
      <c r="E13" s="54"/>
      <c r="F13" s="473">
        <f>+D13*D12</f>
        <v>500</v>
      </c>
      <c r="G13" s="54"/>
      <c r="H13" s="474">
        <v>0.21</v>
      </c>
      <c r="I13" s="475">
        <f>100%-H13</f>
        <v>0.79</v>
      </c>
      <c r="J13" s="54"/>
      <c r="K13" s="476">
        <f>+F13*H13</f>
        <v>105</v>
      </c>
      <c r="L13" s="477">
        <f>+K13/D12</f>
        <v>10.5</v>
      </c>
      <c r="M13" s="54"/>
      <c r="N13" s="476">
        <f>+F13*(1-H13)</f>
        <v>395</v>
      </c>
      <c r="O13" s="477">
        <f>+N13/D12</f>
        <v>39.5</v>
      </c>
      <c r="P13" s="470"/>
    </row>
    <row r="14" spans="2:16" ht="6" customHeight="1">
      <c r="B14" s="478"/>
      <c r="C14" s="54"/>
      <c r="D14" s="479"/>
      <c r="E14" s="55"/>
      <c r="F14" s="480"/>
      <c r="G14" s="55"/>
      <c r="H14" s="481"/>
      <c r="I14" s="481"/>
      <c r="J14" s="55"/>
      <c r="K14" s="482"/>
      <c r="L14" s="479"/>
      <c r="M14" s="55"/>
      <c r="N14" s="482"/>
      <c r="O14" s="479"/>
      <c r="P14" s="470"/>
    </row>
    <row r="15" spans="2:16" ht="20.25" customHeight="1" thickBot="1">
      <c r="B15" s="483" t="s">
        <v>293</v>
      </c>
      <c r="C15" s="270" t="s">
        <v>294</v>
      </c>
      <c r="D15" s="484">
        <v>200</v>
      </c>
      <c r="E15" s="270"/>
      <c r="F15" s="485">
        <f>+D12*D15</f>
        <v>2000</v>
      </c>
      <c r="G15" s="270"/>
      <c r="H15" s="486">
        <v>0.32</v>
      </c>
      <c r="I15" s="487">
        <f>100%-H15</f>
        <v>0.6799999999999999</v>
      </c>
      <c r="J15" s="270"/>
      <c r="K15" s="488">
        <f>+F15*H15</f>
        <v>640</v>
      </c>
      <c r="L15" s="489">
        <f>+K15/D12</f>
        <v>64</v>
      </c>
      <c r="M15" s="270"/>
      <c r="N15" s="488">
        <f>+F15*(1-H15)</f>
        <v>1359.9999999999998</v>
      </c>
      <c r="O15" s="489">
        <f>+N15/D12</f>
        <v>135.99999999999997</v>
      </c>
      <c r="P15" s="470"/>
    </row>
    <row r="16" spans="2:16" ht="9" customHeight="1">
      <c r="B16" s="478"/>
      <c r="C16" s="54"/>
      <c r="D16" s="54"/>
      <c r="E16" s="54"/>
      <c r="F16" s="54"/>
      <c r="G16" s="54"/>
      <c r="H16" s="490"/>
      <c r="I16" s="490"/>
      <c r="J16" s="54"/>
      <c r="K16" s="54"/>
      <c r="L16" s="54"/>
      <c r="M16" s="54"/>
      <c r="N16" s="54"/>
      <c r="O16" s="54"/>
      <c r="P16" s="470"/>
    </row>
    <row r="17" spans="2:16" ht="16.5" thickBot="1">
      <c r="B17" s="483" t="s">
        <v>295</v>
      </c>
      <c r="C17" s="491" t="s">
        <v>296</v>
      </c>
      <c r="D17" s="492">
        <f>+D15-D13</f>
        <v>150</v>
      </c>
      <c r="E17" s="269"/>
      <c r="F17" s="493">
        <f>+F15-F13</f>
        <v>1500</v>
      </c>
      <c r="G17" s="269"/>
      <c r="H17" s="494">
        <f>+K17/F17</f>
        <v>0.3566666666666667</v>
      </c>
      <c r="I17" s="494">
        <f>100%-H17</f>
        <v>0.6433333333333333</v>
      </c>
      <c r="J17" s="269"/>
      <c r="K17" s="495">
        <f>+K15-K13</f>
        <v>535</v>
      </c>
      <c r="L17" s="492">
        <f>+L15-L13</f>
        <v>53.5</v>
      </c>
      <c r="M17" s="269"/>
      <c r="N17" s="495">
        <f>+N15-N13</f>
        <v>964.9999999999998</v>
      </c>
      <c r="O17" s="492">
        <f>+O15-O13</f>
        <v>96.49999999999997</v>
      </c>
      <c r="P17" s="470"/>
    </row>
    <row r="18" spans="2:16" ht="12.75">
      <c r="B18" s="496"/>
      <c r="C18" s="54"/>
      <c r="D18" s="54"/>
      <c r="E18" s="54"/>
      <c r="F18" s="54"/>
      <c r="G18" s="54"/>
      <c r="H18" s="490"/>
      <c r="I18" s="490"/>
      <c r="J18" s="54"/>
      <c r="K18" s="54"/>
      <c r="L18" s="54"/>
      <c r="M18" s="54"/>
      <c r="N18" s="54"/>
      <c r="O18" s="54"/>
      <c r="P18" s="470"/>
    </row>
    <row r="19" spans="2:16" ht="12.75">
      <c r="B19" s="565" t="s">
        <v>297</v>
      </c>
      <c r="E19" s="54"/>
      <c r="F19" s="54"/>
      <c r="G19" s="54"/>
      <c r="H19" s="54"/>
      <c r="I19" s="54"/>
      <c r="J19" s="54"/>
      <c r="K19" s="54"/>
      <c r="L19" s="54"/>
      <c r="M19" s="54"/>
      <c r="N19" s="54"/>
      <c r="O19" s="54"/>
      <c r="P19" s="470"/>
    </row>
    <row r="20" spans="2:16" ht="12.75">
      <c r="B20" s="566"/>
      <c r="C20" s="54" t="s">
        <v>298</v>
      </c>
      <c r="D20" s="497">
        <f>+O52</f>
        <v>27.848101265822795</v>
      </c>
      <c r="E20" s="54"/>
      <c r="F20" s="473">
        <f>+D20*D12</f>
        <v>278.48101265822794</v>
      </c>
      <c r="G20" s="54"/>
      <c r="H20" s="475">
        <v>1</v>
      </c>
      <c r="I20" s="475">
        <f>100%-H20</f>
        <v>0</v>
      </c>
      <c r="J20" s="54"/>
      <c r="K20" s="476">
        <f>+H20*F20</f>
        <v>278.48101265822794</v>
      </c>
      <c r="L20" s="498">
        <f>+K20/D12</f>
        <v>27.848101265822795</v>
      </c>
      <c r="M20" s="54"/>
      <c r="N20" s="476">
        <v>0</v>
      </c>
      <c r="O20" s="498">
        <v>0</v>
      </c>
      <c r="P20" s="470"/>
    </row>
    <row r="21" spans="2:16" ht="12.75">
      <c r="B21" s="566"/>
      <c r="C21" s="465" t="s">
        <v>299</v>
      </c>
      <c r="D21" s="499">
        <f>+D20+D13</f>
        <v>77.84810126582279</v>
      </c>
      <c r="E21" s="54"/>
      <c r="F21" s="473"/>
      <c r="G21" s="54"/>
      <c r="H21" s="475"/>
      <c r="I21" s="475"/>
      <c r="J21" s="54"/>
      <c r="K21" s="476"/>
      <c r="L21" s="498"/>
      <c r="M21" s="54"/>
      <c r="N21" s="476"/>
      <c r="O21" s="498"/>
      <c r="P21" s="470"/>
    </row>
    <row r="22" spans="2:16" ht="6.75" customHeight="1">
      <c r="B22" s="566"/>
      <c r="C22" s="54"/>
      <c r="D22" s="479"/>
      <c r="E22" s="55"/>
      <c r="F22" s="480"/>
      <c r="G22" s="55"/>
      <c r="H22" s="481"/>
      <c r="I22" s="481"/>
      <c r="J22" s="55"/>
      <c r="K22" s="482"/>
      <c r="L22" s="479"/>
      <c r="M22" s="55"/>
      <c r="N22" s="482"/>
      <c r="O22" s="479"/>
      <c r="P22" s="470"/>
    </row>
    <row r="23" spans="2:16" ht="18.75" customHeight="1">
      <c r="B23" s="566"/>
      <c r="C23" s="54" t="s">
        <v>300</v>
      </c>
      <c r="D23" s="497">
        <f>+O49</f>
        <v>122.15189873417718</v>
      </c>
      <c r="E23" s="54"/>
      <c r="F23" s="473">
        <f>+D23*D12</f>
        <v>1221.518987341772</v>
      </c>
      <c r="G23" s="54"/>
      <c r="H23" s="475">
        <v>0.21</v>
      </c>
      <c r="I23" s="475">
        <f>100%-H23</f>
        <v>0.79</v>
      </c>
      <c r="J23" s="54"/>
      <c r="K23" s="476">
        <f>+F23*H23</f>
        <v>256.51898734177206</v>
      </c>
      <c r="L23" s="498">
        <f>+K23/D12</f>
        <v>25.651898734177205</v>
      </c>
      <c r="M23" s="54"/>
      <c r="N23" s="476">
        <f>+F23*(1-H23)</f>
        <v>964.9999999999999</v>
      </c>
      <c r="O23" s="498">
        <f>+N23/D12</f>
        <v>96.49999999999999</v>
      </c>
      <c r="P23" s="470"/>
    </row>
    <row r="24" spans="2:16" ht="12.75">
      <c r="B24" s="566"/>
      <c r="C24" s="465" t="s">
        <v>301</v>
      </c>
      <c r="D24" s="499">
        <f>+D23+D21</f>
        <v>199.99999999999997</v>
      </c>
      <c r="E24" s="54"/>
      <c r="F24" s="54"/>
      <c r="G24" s="54"/>
      <c r="H24" s="54"/>
      <c r="I24" s="54"/>
      <c r="J24" s="54"/>
      <c r="K24" s="54"/>
      <c r="L24" s="54"/>
      <c r="M24" s="54"/>
      <c r="N24" s="54"/>
      <c r="O24" s="54"/>
      <c r="P24" s="470"/>
    </row>
    <row r="25" spans="2:16" ht="6" customHeight="1">
      <c r="B25" s="496"/>
      <c r="C25" s="54"/>
      <c r="D25" s="54"/>
      <c r="E25" s="54"/>
      <c r="F25" s="54"/>
      <c r="G25" s="54"/>
      <c r="H25" s="54"/>
      <c r="I25" s="54"/>
      <c r="J25" s="54"/>
      <c r="K25" s="54"/>
      <c r="L25" s="54"/>
      <c r="M25" s="54"/>
      <c r="N25" s="54"/>
      <c r="O25" s="54"/>
      <c r="P25" s="470"/>
    </row>
    <row r="26" spans="2:16" ht="15.75">
      <c r="B26" s="500" t="s">
        <v>302</v>
      </c>
      <c r="C26" s="465" t="s">
        <v>173</v>
      </c>
      <c r="D26" s="499">
        <f>+D23+D20+D13</f>
        <v>199.99999999999997</v>
      </c>
      <c r="E26" s="465"/>
      <c r="F26" s="501">
        <f>+F23+F20+F13</f>
        <v>1999.9999999999998</v>
      </c>
      <c r="G26" s="465"/>
      <c r="H26" s="502">
        <f>+K26/F26</f>
        <v>0.32000000000000006</v>
      </c>
      <c r="I26" s="475">
        <f>100%-H26</f>
        <v>0.6799999999999999</v>
      </c>
      <c r="J26" s="465"/>
      <c r="K26" s="503">
        <f>+K23+K20+K13</f>
        <v>640</v>
      </c>
      <c r="L26" s="499">
        <f>+L23+L20+L13</f>
        <v>64</v>
      </c>
      <c r="M26" s="465"/>
      <c r="N26" s="503">
        <f>+N23+N20+N13</f>
        <v>1360</v>
      </c>
      <c r="O26" s="499">
        <f>+O23+O20+O13</f>
        <v>136</v>
      </c>
      <c r="P26" s="470"/>
    </row>
    <row r="27" spans="2:16" ht="13.5" thickBot="1">
      <c r="B27" s="504"/>
      <c r="C27" s="269"/>
      <c r="D27" s="269"/>
      <c r="E27" s="269"/>
      <c r="F27" s="269"/>
      <c r="G27" s="269"/>
      <c r="H27" s="269"/>
      <c r="I27" s="269"/>
      <c r="J27" s="269"/>
      <c r="K27" s="269"/>
      <c r="L27" s="269"/>
      <c r="M27" s="269"/>
      <c r="N27" s="269"/>
      <c r="O27" s="269"/>
      <c r="P27" s="505"/>
    </row>
    <row r="28" ht="13.5" thickBot="1"/>
    <row r="29" spans="2:16" ht="18.75" thickBot="1">
      <c r="B29" s="506" t="s">
        <v>303</v>
      </c>
      <c r="C29" s="507"/>
      <c r="D29" s="508"/>
      <c r="E29" s="508"/>
      <c r="F29" s="508"/>
      <c r="G29" s="508"/>
      <c r="H29" s="508"/>
      <c r="I29" s="508"/>
      <c r="J29" s="508"/>
      <c r="K29" s="508"/>
      <c r="L29" s="508"/>
      <c r="M29" s="508"/>
      <c r="N29" s="508"/>
      <c r="O29" s="508"/>
      <c r="P29" s="509"/>
    </row>
    <row r="30" spans="2:16" ht="18">
      <c r="B30" s="496"/>
      <c r="C30" s="54"/>
      <c r="D30" s="510"/>
      <c r="E30" s="510"/>
      <c r="F30" s="510"/>
      <c r="G30" s="510"/>
      <c r="H30" s="510"/>
      <c r="I30" s="510"/>
      <c r="J30" s="510"/>
      <c r="K30" s="510"/>
      <c r="L30" s="510"/>
      <c r="M30" s="510"/>
      <c r="N30" s="510"/>
      <c r="O30" s="510"/>
      <c r="P30" s="470"/>
    </row>
    <row r="31" spans="2:16" ht="18" customHeight="1">
      <c r="B31" s="511" t="s">
        <v>287</v>
      </c>
      <c r="C31" s="54" t="s">
        <v>304</v>
      </c>
      <c r="D31" s="512">
        <f>+D13</f>
        <v>50</v>
      </c>
      <c r="E31" s="54"/>
      <c r="F31" s="54" t="s">
        <v>305</v>
      </c>
      <c r="G31" s="54"/>
      <c r="H31" s="54"/>
      <c r="I31" s="54"/>
      <c r="J31" s="54"/>
      <c r="K31" s="54"/>
      <c r="L31" s="54"/>
      <c r="M31" s="54"/>
      <c r="N31" s="54"/>
      <c r="O31" s="54"/>
      <c r="P31" s="470"/>
    </row>
    <row r="32" spans="2:16" ht="15">
      <c r="B32" s="478"/>
      <c r="C32" s="54" t="s">
        <v>306</v>
      </c>
      <c r="D32" s="54"/>
      <c r="E32" s="54"/>
      <c r="F32" s="54"/>
      <c r="G32" s="54"/>
      <c r="H32" s="54"/>
      <c r="I32" s="54"/>
      <c r="J32" s="54"/>
      <c r="K32" s="54"/>
      <c r="L32" s="54"/>
      <c r="M32" s="54"/>
      <c r="N32" s="54"/>
      <c r="O32" s="54"/>
      <c r="P32" s="470"/>
    </row>
    <row r="33" spans="2:16" ht="6.75" customHeight="1">
      <c r="B33" s="478"/>
      <c r="C33" s="54"/>
      <c r="D33" s="54"/>
      <c r="E33" s="54"/>
      <c r="F33" s="54"/>
      <c r="G33" s="54"/>
      <c r="H33" s="54"/>
      <c r="I33" s="54"/>
      <c r="J33" s="54"/>
      <c r="K33" s="54"/>
      <c r="L33" s="54"/>
      <c r="M33" s="54"/>
      <c r="N33" s="54"/>
      <c r="O33" s="54"/>
      <c r="P33" s="470"/>
    </row>
    <row r="34" spans="2:16" ht="14.25" customHeight="1" thickBot="1">
      <c r="B34" s="513"/>
      <c r="C34" s="270" t="s">
        <v>290</v>
      </c>
      <c r="D34" s="514">
        <f>+D31</f>
        <v>50</v>
      </c>
      <c r="E34" s="515" t="s">
        <v>307</v>
      </c>
      <c r="F34" s="516">
        <f>+H13</f>
        <v>0.21</v>
      </c>
      <c r="G34" s="515" t="s">
        <v>308</v>
      </c>
      <c r="H34" s="517">
        <f>+L13</f>
        <v>10.5</v>
      </c>
      <c r="I34" s="518"/>
      <c r="J34" s="269"/>
      <c r="K34" s="270" t="s">
        <v>291</v>
      </c>
      <c r="L34" s="514">
        <f>+D34</f>
        <v>50</v>
      </c>
      <c r="M34" s="515" t="s">
        <v>307</v>
      </c>
      <c r="N34" s="519">
        <f>+I13</f>
        <v>0.79</v>
      </c>
      <c r="O34" s="517">
        <f>+O13</f>
        <v>39.5</v>
      </c>
      <c r="P34" s="505"/>
    </row>
    <row r="35" spans="2:19" ht="7.5" customHeight="1">
      <c r="B35" s="478"/>
      <c r="C35" s="54"/>
      <c r="D35" s="54"/>
      <c r="E35" s="54"/>
      <c r="F35" s="54"/>
      <c r="G35" s="127"/>
      <c r="H35" s="54"/>
      <c r="I35" s="54"/>
      <c r="J35" s="54"/>
      <c r="K35" s="54"/>
      <c r="L35" s="54"/>
      <c r="M35" s="54"/>
      <c r="N35" s="54"/>
      <c r="O35" s="54"/>
      <c r="P35" s="470"/>
      <c r="R35" s="226"/>
      <c r="S35" s="226"/>
    </row>
    <row r="36" spans="2:19" ht="5.25" customHeight="1">
      <c r="B36" s="478"/>
      <c r="C36" s="54"/>
      <c r="D36" s="54"/>
      <c r="E36" s="54"/>
      <c r="F36" s="54"/>
      <c r="G36" s="127"/>
      <c r="H36" s="54"/>
      <c r="I36" s="54"/>
      <c r="J36" s="54"/>
      <c r="K36" s="54"/>
      <c r="L36" s="54"/>
      <c r="M36" s="54"/>
      <c r="N36" s="54"/>
      <c r="O36" s="54"/>
      <c r="P36" s="470"/>
      <c r="R36" s="226"/>
      <c r="S36" s="226"/>
    </row>
    <row r="37" spans="2:19" ht="15.75">
      <c r="B37" s="511" t="s">
        <v>293</v>
      </c>
      <c r="C37" s="54" t="s">
        <v>309</v>
      </c>
      <c r="D37" s="54"/>
      <c r="E37" s="54"/>
      <c r="F37" s="475">
        <f>+H15</f>
        <v>0.32</v>
      </c>
      <c r="G37" s="54"/>
      <c r="H37" s="54" t="s">
        <v>310</v>
      </c>
      <c r="I37" s="54"/>
      <c r="J37" s="54"/>
      <c r="K37" s="54"/>
      <c r="L37" s="54"/>
      <c r="M37" s="54"/>
      <c r="N37" s="54"/>
      <c r="O37" s="54"/>
      <c r="P37" s="470"/>
      <c r="Q37" s="520"/>
      <c r="R37" s="521"/>
      <c r="S37" s="521"/>
    </row>
    <row r="38" spans="2:19" ht="15">
      <c r="B38" s="478"/>
      <c r="C38" s="54"/>
      <c r="D38" s="54"/>
      <c r="E38" s="54"/>
      <c r="F38" s="54"/>
      <c r="G38" s="54"/>
      <c r="H38" s="54"/>
      <c r="I38" s="54"/>
      <c r="J38" s="54"/>
      <c r="K38" s="54"/>
      <c r="L38" s="54"/>
      <c r="M38" s="54"/>
      <c r="N38" s="54"/>
      <c r="O38" s="54"/>
      <c r="P38" s="470"/>
      <c r="Q38" s="522"/>
      <c r="R38" s="521"/>
      <c r="S38" s="521"/>
    </row>
    <row r="39" spans="2:16" ht="15">
      <c r="B39" s="478"/>
      <c r="C39" s="54" t="s">
        <v>311</v>
      </c>
      <c r="D39" s="54"/>
      <c r="E39" s="54"/>
      <c r="F39" s="54"/>
      <c r="G39" s="54"/>
      <c r="H39" s="54"/>
      <c r="I39" s="54"/>
      <c r="J39" s="54"/>
      <c r="K39" s="54"/>
      <c r="L39" s="54"/>
      <c r="M39" s="54"/>
      <c r="N39" s="54"/>
      <c r="O39" s="54"/>
      <c r="P39" s="470"/>
    </row>
    <row r="40" spans="2:16" ht="6.75" customHeight="1">
      <c r="B40" s="478"/>
      <c r="C40" s="54"/>
      <c r="D40" s="54"/>
      <c r="E40" s="54"/>
      <c r="F40" s="54"/>
      <c r="G40" s="54"/>
      <c r="H40" s="465"/>
      <c r="I40" s="54"/>
      <c r="J40" s="54"/>
      <c r="K40" s="54"/>
      <c r="L40" s="54"/>
      <c r="M40" s="54"/>
      <c r="N40" s="54"/>
      <c r="O40" s="54"/>
      <c r="P40" s="470"/>
    </row>
    <row r="41" spans="2:26" ht="15.75" thickBot="1">
      <c r="B41" s="513"/>
      <c r="C41" s="270" t="s">
        <v>290</v>
      </c>
      <c r="D41" s="523">
        <f>+D15</f>
        <v>200</v>
      </c>
      <c r="E41" s="515" t="s">
        <v>307</v>
      </c>
      <c r="F41" s="524">
        <f>+H15</f>
        <v>0.32</v>
      </c>
      <c r="G41" s="269" t="s">
        <v>308</v>
      </c>
      <c r="H41" s="525">
        <f>+L15</f>
        <v>64</v>
      </c>
      <c r="I41" s="269"/>
      <c r="J41" s="269"/>
      <c r="K41" s="270" t="s">
        <v>291</v>
      </c>
      <c r="L41" s="523">
        <f>+D41</f>
        <v>200</v>
      </c>
      <c r="M41" s="515" t="s">
        <v>307</v>
      </c>
      <c r="N41" s="524">
        <f>+I15</f>
        <v>0.6799999999999999</v>
      </c>
      <c r="O41" s="489">
        <f>+O15</f>
        <v>135.99999999999997</v>
      </c>
      <c r="P41" s="505"/>
      <c r="Q41" s="526"/>
      <c r="V41" s="527"/>
      <c r="W41" s="527"/>
      <c r="Z41" s="528"/>
    </row>
    <row r="42" spans="2:28" ht="15">
      <c r="B42" s="478"/>
      <c r="C42" s="54"/>
      <c r="D42" s="54"/>
      <c r="E42" s="54"/>
      <c r="F42" s="54"/>
      <c r="G42" s="54"/>
      <c r="H42" s="54"/>
      <c r="I42" s="54"/>
      <c r="J42" s="54"/>
      <c r="K42" s="54"/>
      <c r="L42" s="54"/>
      <c r="M42" s="54"/>
      <c r="N42" s="54"/>
      <c r="O42" s="54"/>
      <c r="P42" s="470"/>
      <c r="Q42" s="526"/>
      <c r="V42" s="527"/>
      <c r="W42" s="527"/>
      <c r="Z42" s="528"/>
      <c r="AB42" s="289"/>
    </row>
    <row r="43" spans="2:20" ht="15.75">
      <c r="B43" s="511" t="s">
        <v>295</v>
      </c>
      <c r="C43" s="465" t="s">
        <v>290</v>
      </c>
      <c r="D43" s="529">
        <f>+H41</f>
        <v>64</v>
      </c>
      <c r="E43" s="530" t="s">
        <v>312</v>
      </c>
      <c r="F43" s="531">
        <f>+H34</f>
        <v>10.5</v>
      </c>
      <c r="G43" s="54"/>
      <c r="H43" s="532">
        <f>+H41-H34</f>
        <v>53.5</v>
      </c>
      <c r="I43" s="54"/>
      <c r="J43" s="54"/>
      <c r="K43" s="465" t="s">
        <v>291</v>
      </c>
      <c r="L43" s="533">
        <f>+O41</f>
        <v>135.99999999999997</v>
      </c>
      <c r="M43" s="530" t="s">
        <v>312</v>
      </c>
      <c r="N43" s="531">
        <f>+O34</f>
        <v>39.5</v>
      </c>
      <c r="O43" s="532">
        <f>+O41-O34</f>
        <v>96.49999999999997</v>
      </c>
      <c r="P43" s="470"/>
      <c r="Q43" s="534"/>
      <c r="R43" s="521"/>
      <c r="S43" s="521"/>
      <c r="T43" s="521"/>
    </row>
    <row r="44" spans="2:16" ht="12.75">
      <c r="B44" s="496"/>
      <c r="C44" s="54"/>
      <c r="D44" s="54"/>
      <c r="E44" s="54"/>
      <c r="F44" s="54"/>
      <c r="G44" s="54"/>
      <c r="H44" s="54"/>
      <c r="I44" s="54"/>
      <c r="J44" s="54"/>
      <c r="K44" s="54"/>
      <c r="L44" s="54"/>
      <c r="M44" s="54"/>
      <c r="N44" s="54"/>
      <c r="O44" s="54"/>
      <c r="P44" s="470"/>
    </row>
    <row r="45" spans="2:16" ht="13.5" thickBot="1">
      <c r="B45" s="504"/>
      <c r="C45" s="269" t="s">
        <v>313</v>
      </c>
      <c r="D45" s="269"/>
      <c r="E45" s="269"/>
      <c r="F45" s="269"/>
      <c r="G45" s="269"/>
      <c r="H45" s="269"/>
      <c r="I45" s="269"/>
      <c r="J45" s="269"/>
      <c r="K45" s="269"/>
      <c r="L45" s="269"/>
      <c r="M45" s="269"/>
      <c r="N45" s="269"/>
      <c r="O45" s="269"/>
      <c r="P45" s="505"/>
    </row>
    <row r="46" spans="2:16" ht="12.75">
      <c r="B46" s="496"/>
      <c r="C46" s="54"/>
      <c r="D46" s="54"/>
      <c r="E46" s="54"/>
      <c r="F46" s="54"/>
      <c r="G46" s="54"/>
      <c r="H46" s="54"/>
      <c r="I46" s="54"/>
      <c r="J46" s="54"/>
      <c r="K46" s="54"/>
      <c r="L46" s="54"/>
      <c r="M46" s="54"/>
      <c r="N46" s="54"/>
      <c r="O46" s="54"/>
      <c r="P46" s="470"/>
    </row>
    <row r="47" spans="2:16" ht="12.75">
      <c r="B47" s="565" t="s">
        <v>297</v>
      </c>
      <c r="C47" s="54" t="s">
        <v>314</v>
      </c>
      <c r="D47" s="54"/>
      <c r="E47" s="54"/>
      <c r="F47" s="54"/>
      <c r="G47" s="54"/>
      <c r="H47" s="54"/>
      <c r="I47" s="54"/>
      <c r="J47" s="54"/>
      <c r="K47" s="54"/>
      <c r="L47" s="54"/>
      <c r="M47" s="54"/>
      <c r="N47" s="54"/>
      <c r="O47" s="54"/>
      <c r="P47" s="470"/>
    </row>
    <row r="48" spans="2:16" ht="12.75">
      <c r="B48" s="566"/>
      <c r="C48" s="54"/>
      <c r="D48" s="54"/>
      <c r="E48" s="54"/>
      <c r="F48" s="54"/>
      <c r="G48" s="54"/>
      <c r="H48" s="54"/>
      <c r="I48" s="54"/>
      <c r="J48" s="54"/>
      <c r="K48" s="54"/>
      <c r="L48" s="54"/>
      <c r="M48" s="54"/>
      <c r="N48" s="54"/>
      <c r="O48" s="54"/>
      <c r="P48" s="470"/>
    </row>
    <row r="49" spans="2:16" ht="12.75">
      <c r="B49" s="566"/>
      <c r="C49" s="54" t="s">
        <v>315</v>
      </c>
      <c r="D49" s="54"/>
      <c r="E49" s="54"/>
      <c r="F49" s="54"/>
      <c r="G49" s="54"/>
      <c r="H49" s="54"/>
      <c r="I49" s="54"/>
      <c r="J49" s="54"/>
      <c r="K49" s="54"/>
      <c r="L49" s="532">
        <f>+O43</f>
        <v>96.49999999999997</v>
      </c>
      <c r="M49" s="530" t="s">
        <v>316</v>
      </c>
      <c r="N49" s="127">
        <v>0.79</v>
      </c>
      <c r="O49" s="497">
        <f>+L49/N49</f>
        <v>122.15189873417718</v>
      </c>
      <c r="P49" s="470"/>
    </row>
    <row r="50" spans="2:16" ht="12.75">
      <c r="B50" s="566"/>
      <c r="C50" s="54" t="s">
        <v>317</v>
      </c>
      <c r="D50" s="54"/>
      <c r="E50" s="54"/>
      <c r="F50" s="54"/>
      <c r="G50" s="54"/>
      <c r="H50" s="54"/>
      <c r="I50" s="54"/>
      <c r="J50" s="54"/>
      <c r="K50" s="54"/>
      <c r="L50" s="499">
        <f>+O49</f>
        <v>122.15189873417718</v>
      </c>
      <c r="M50" s="127" t="s">
        <v>307</v>
      </c>
      <c r="N50" s="127">
        <v>0.21</v>
      </c>
      <c r="O50" s="499">
        <f>+N50*L50</f>
        <v>25.651898734177205</v>
      </c>
      <c r="P50" s="470"/>
    </row>
    <row r="51" spans="2:16" ht="12.75">
      <c r="B51" s="566"/>
      <c r="C51" s="54" t="s">
        <v>318</v>
      </c>
      <c r="D51" s="54"/>
      <c r="E51" s="54"/>
      <c r="F51" s="54"/>
      <c r="G51" s="54"/>
      <c r="H51" s="54"/>
      <c r="I51" s="54"/>
      <c r="J51" s="54"/>
      <c r="K51" s="54"/>
      <c r="L51" s="532">
        <f>+H43</f>
        <v>53.5</v>
      </c>
      <c r="M51" s="530" t="s">
        <v>312</v>
      </c>
      <c r="N51" s="535">
        <f>+O50</f>
        <v>25.651898734177205</v>
      </c>
      <c r="O51" s="54"/>
      <c r="P51" s="470"/>
    </row>
    <row r="52" spans="2:16" ht="13.5" thickBot="1">
      <c r="B52" s="567"/>
      <c r="C52" s="269" t="s">
        <v>319</v>
      </c>
      <c r="D52" s="269"/>
      <c r="E52" s="269"/>
      <c r="F52" s="269"/>
      <c r="G52" s="269"/>
      <c r="H52" s="269"/>
      <c r="I52" s="269"/>
      <c r="J52" s="269"/>
      <c r="K52" s="269"/>
      <c r="L52" s="269"/>
      <c r="M52" s="269"/>
      <c r="N52" s="536" t="s">
        <v>308</v>
      </c>
      <c r="O52" s="537">
        <f>+L51-N51</f>
        <v>27.848101265822795</v>
      </c>
      <c r="P52" s="505"/>
    </row>
  </sheetData>
  <sheetProtection/>
  <mergeCells count="3">
    <mergeCell ref="B12:B13"/>
    <mergeCell ref="B19:B24"/>
    <mergeCell ref="B47:B52"/>
  </mergeCells>
  <hyperlinks>
    <hyperlink ref="B4" location="Cockpit!B4" tooltip="Home" display="Home"/>
  </hyperlinks>
  <printOptions/>
  <pageMargins left="0.787401575" right="0.787401575" top="0.984251969" bottom="0.984251969"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61"/>
  <sheetViews>
    <sheetView showGridLines="0" showRowColHeaders="0" zoomScalePageLayoutView="0" workbookViewId="0" topLeftCell="A1">
      <pane xSplit="1" ySplit="5" topLeftCell="B39" activePane="bottomRight" state="frozen"/>
      <selection pane="topLeft" activeCell="A1" sqref="A1"/>
      <selection pane="topRight" activeCell="B1" sqref="B1"/>
      <selection pane="bottomLeft" activeCell="A6" sqref="A6"/>
      <selection pane="bottomRight" activeCell="H61" sqref="H61"/>
    </sheetView>
  </sheetViews>
  <sheetFormatPr defaultColWidth="11.421875" defaultRowHeight="12.75"/>
  <cols>
    <col min="1" max="1" width="5.7109375" style="0" customWidth="1"/>
    <col min="2" max="2" width="20.421875" style="0" customWidth="1"/>
    <col min="3" max="3" width="15.7109375" style="0" customWidth="1"/>
    <col min="4" max="4" width="18.57421875" style="0" customWidth="1"/>
    <col min="5" max="5" width="13.7109375" style="0" bestFit="1" customWidth="1"/>
    <col min="6" max="6" width="18.57421875" style="0" bestFit="1" customWidth="1"/>
    <col min="7" max="7" width="11.8515625" style="0" bestFit="1" customWidth="1"/>
    <col min="8" max="8" width="14.7109375" style="0" customWidth="1"/>
    <col min="9" max="9" width="3.00390625" style="0" customWidth="1"/>
  </cols>
  <sheetData>
    <row r="1" spans="1:11" ht="24.75" customHeight="1">
      <c r="A1" s="299" t="s">
        <v>117</v>
      </c>
      <c r="B1" s="130" t="s">
        <v>102</v>
      </c>
      <c r="C1" s="27"/>
      <c r="D1" s="27"/>
      <c r="E1" s="27"/>
      <c r="F1" s="27"/>
      <c r="G1" s="27"/>
      <c r="H1" s="27"/>
      <c r="I1" s="27"/>
      <c r="J1" s="27"/>
      <c r="K1" s="27"/>
    </row>
    <row r="2" spans="2:11" ht="12.75">
      <c r="B2" s="131" t="s">
        <v>103</v>
      </c>
      <c r="C2" s="27"/>
      <c r="D2" s="27"/>
      <c r="E2" s="27"/>
      <c r="F2" s="27"/>
      <c r="G2" s="27"/>
      <c r="H2" s="27"/>
      <c r="I2" s="27"/>
      <c r="J2" s="27"/>
      <c r="K2" s="132" t="s">
        <v>101</v>
      </c>
    </row>
    <row r="3" spans="4:10" ht="12.75">
      <c r="D3" s="3"/>
      <c r="F3" s="3"/>
      <c r="H3" s="3"/>
      <c r="J3" s="3"/>
    </row>
    <row r="4" spans="1:11" ht="12.75">
      <c r="A4" s="54"/>
      <c r="B4" s="19" t="s">
        <v>149</v>
      </c>
      <c r="C4" s="20"/>
      <c r="D4" s="20"/>
      <c r="E4" s="20"/>
      <c r="F4" s="20"/>
      <c r="G4" s="20"/>
      <c r="H4" s="20"/>
      <c r="I4" s="20"/>
      <c r="J4" s="20"/>
      <c r="K4" s="19"/>
    </row>
    <row r="6" spans="1:2" ht="12.75">
      <c r="A6" s="226" t="s">
        <v>126</v>
      </c>
      <c r="B6" s="1" t="s">
        <v>122</v>
      </c>
    </row>
    <row r="7" spans="1:2" ht="12.75">
      <c r="A7" s="226" t="s">
        <v>127</v>
      </c>
      <c r="B7" s="1" t="s">
        <v>123</v>
      </c>
    </row>
    <row r="9" ht="12.75">
      <c r="B9" s="209" t="s">
        <v>124</v>
      </c>
    </row>
    <row r="10" ht="12.75">
      <c r="B10" s="209" t="s">
        <v>125</v>
      </c>
    </row>
    <row r="11" ht="12.75">
      <c r="B11" t="s">
        <v>232</v>
      </c>
    </row>
    <row r="12" ht="12.75">
      <c r="B12" s="210" t="s">
        <v>231</v>
      </c>
    </row>
    <row r="14" spans="2:8" ht="12.75">
      <c r="B14" s="227" t="s">
        <v>134</v>
      </c>
      <c r="C14" s="228"/>
      <c r="D14" s="228"/>
      <c r="E14" s="228"/>
      <c r="F14" s="228"/>
      <c r="G14" s="228"/>
      <c r="H14" s="229"/>
    </row>
    <row r="15" spans="2:8" ht="25.5">
      <c r="B15" s="211" t="s">
        <v>128</v>
      </c>
      <c r="C15" s="211" t="s">
        <v>140</v>
      </c>
      <c r="D15" s="211" t="s">
        <v>129</v>
      </c>
      <c r="E15" s="211" t="s">
        <v>130</v>
      </c>
      <c r="F15" s="211" t="s">
        <v>131</v>
      </c>
      <c r="G15" s="211" t="s">
        <v>132</v>
      </c>
      <c r="H15" s="211" t="s">
        <v>133</v>
      </c>
    </row>
    <row r="16" spans="2:8" ht="12.75">
      <c r="B16" s="213">
        <v>1</v>
      </c>
      <c r="C16" s="212">
        <v>1.035</v>
      </c>
      <c r="D16" s="213">
        <v>11.34</v>
      </c>
      <c r="E16" s="213">
        <v>7.85</v>
      </c>
      <c r="F16" s="213">
        <v>2.7</v>
      </c>
      <c r="G16" s="213">
        <v>1</v>
      </c>
      <c r="H16" s="213">
        <f>1.26</f>
        <v>1.26</v>
      </c>
    </row>
    <row r="18" ht="12.75">
      <c r="B18" s="210"/>
    </row>
    <row r="19" spans="2:8" ht="25.5">
      <c r="B19" s="230" t="s">
        <v>150</v>
      </c>
      <c r="C19" s="228"/>
      <c r="D19" s="228"/>
      <c r="E19" s="228"/>
      <c r="F19" s="228"/>
      <c r="G19" s="228"/>
      <c r="H19" s="229"/>
    </row>
    <row r="20" spans="2:8" ht="12.75">
      <c r="B20" s="214"/>
      <c r="C20" s="54"/>
      <c r="D20" s="233"/>
      <c r="E20" s="54"/>
      <c r="F20" s="54"/>
      <c r="G20" s="54"/>
      <c r="H20" s="80"/>
    </row>
    <row r="21" spans="2:8" ht="12.75">
      <c r="B21" s="234" t="s">
        <v>145</v>
      </c>
      <c r="C21" s="235"/>
      <c r="D21" s="235"/>
      <c r="E21" s="54"/>
      <c r="F21" s="54"/>
      <c r="G21" s="54"/>
      <c r="H21" s="80"/>
    </row>
    <row r="22" spans="2:8" ht="12.75">
      <c r="B22" s="236" t="s">
        <v>146</v>
      </c>
      <c r="C22" s="54"/>
      <c r="D22" s="54"/>
      <c r="E22" s="54"/>
      <c r="F22" s="54"/>
      <c r="G22" s="411" t="s">
        <v>104</v>
      </c>
      <c r="H22" s="412" t="s">
        <v>105</v>
      </c>
    </row>
    <row r="23" spans="2:8" ht="12.75">
      <c r="B23" s="236" t="s">
        <v>147</v>
      </c>
      <c r="C23" s="54"/>
      <c r="D23" s="54"/>
      <c r="E23" s="54"/>
      <c r="F23" s="54"/>
      <c r="G23" s="54"/>
      <c r="H23" s="80"/>
    </row>
    <row r="24" spans="2:8" ht="12.75">
      <c r="B24" s="236" t="s">
        <v>148</v>
      </c>
      <c r="C24" s="54"/>
      <c r="D24" s="54"/>
      <c r="E24" s="54"/>
      <c r="F24" s="54"/>
      <c r="G24" s="54"/>
      <c r="H24" s="80"/>
    </row>
    <row r="25" spans="2:8" ht="12.75">
      <c r="B25" s="236"/>
      <c r="C25" s="54"/>
      <c r="D25" s="54"/>
      <c r="E25" s="54"/>
      <c r="F25" s="54"/>
      <c r="G25" s="54"/>
      <c r="H25" s="80"/>
    </row>
    <row r="26" spans="2:8" ht="12.75">
      <c r="B26" s="216" t="s">
        <v>138</v>
      </c>
      <c r="C26" s="220">
        <v>500</v>
      </c>
      <c r="D26" s="217" t="s">
        <v>142</v>
      </c>
      <c r="E26" s="231">
        <v>300</v>
      </c>
      <c r="F26" s="54" t="s">
        <v>144</v>
      </c>
      <c r="G26" s="232">
        <f>+C16</f>
        <v>1.035</v>
      </c>
      <c r="H26" s="237">
        <f>(+C26-(+E26*G26))/G26</f>
        <v>183.09178743961354</v>
      </c>
    </row>
    <row r="27" spans="2:8" ht="12.75">
      <c r="B27" s="238" t="s">
        <v>138</v>
      </c>
      <c r="C27" s="239">
        <v>350</v>
      </c>
      <c r="D27" s="240" t="s">
        <v>142</v>
      </c>
      <c r="E27" s="241">
        <v>300</v>
      </c>
      <c r="F27" s="13" t="s">
        <v>143</v>
      </c>
      <c r="G27" s="242">
        <f>+B16</f>
        <v>1</v>
      </c>
      <c r="H27" s="243">
        <f>(+C27-(+E27*G27))/G27</f>
        <v>50</v>
      </c>
    </row>
    <row r="30" spans="2:8" ht="12.75">
      <c r="B30" s="227" t="s">
        <v>218</v>
      </c>
      <c r="C30" s="228"/>
      <c r="D30" s="228"/>
      <c r="E30" s="228"/>
      <c r="F30" s="228"/>
      <c r="G30" s="228"/>
      <c r="H30" s="229"/>
    </row>
    <row r="31" spans="2:8" ht="12.75">
      <c r="B31" s="99"/>
      <c r="C31" s="54"/>
      <c r="D31" s="54"/>
      <c r="E31" s="54"/>
      <c r="F31" s="54"/>
      <c r="G31" s="54"/>
      <c r="H31" s="80"/>
    </row>
    <row r="32" spans="2:8" ht="12.75">
      <c r="B32" s="214" t="s">
        <v>219</v>
      </c>
      <c r="C32" s="54"/>
      <c r="D32" s="215"/>
      <c r="E32" s="54"/>
      <c r="F32" s="54"/>
      <c r="G32" s="54"/>
      <c r="H32" s="80"/>
    </row>
    <row r="33" spans="2:8" ht="25.5">
      <c r="B33" s="216" t="s">
        <v>138</v>
      </c>
      <c r="C33" s="220">
        <v>10</v>
      </c>
      <c r="D33" s="217" t="s">
        <v>139</v>
      </c>
      <c r="E33" s="221">
        <f>+D16</f>
        <v>11.34</v>
      </c>
      <c r="F33" s="218" t="s">
        <v>135</v>
      </c>
      <c r="G33" s="218" t="s">
        <v>141</v>
      </c>
      <c r="H33" s="224">
        <f>+C33/E33</f>
        <v>0.8818342151675486</v>
      </c>
    </row>
    <row r="34" spans="2:8" ht="12.75">
      <c r="B34" s="219" t="s">
        <v>136</v>
      </c>
      <c r="C34" s="222">
        <f>+C33</f>
        <v>10</v>
      </c>
      <c r="D34" s="223">
        <f>-H33</f>
        <v>-0.8818342151675486</v>
      </c>
      <c r="E34" s="13" t="s">
        <v>137</v>
      </c>
      <c r="F34" s="13"/>
      <c r="G34" s="13"/>
      <c r="H34" s="225">
        <f>-C34-D34</f>
        <v>-9.11816578483245</v>
      </c>
    </row>
    <row r="36" spans="2:8" ht="12.75">
      <c r="B36" s="227" t="s">
        <v>220</v>
      </c>
      <c r="C36" s="228"/>
      <c r="D36" s="228"/>
      <c r="E36" s="228"/>
      <c r="F36" s="228"/>
      <c r="G36" s="228"/>
      <c r="H36" s="229"/>
    </row>
    <row r="37" spans="2:8" ht="12.75">
      <c r="B37" s="134" t="s">
        <v>104</v>
      </c>
      <c r="C37" s="429" t="s">
        <v>105</v>
      </c>
      <c r="D37" s="101"/>
      <c r="E37" s="101"/>
      <c r="F37" s="101"/>
      <c r="G37" s="390" t="s">
        <v>184</v>
      </c>
      <c r="H37" s="391"/>
    </row>
    <row r="38" spans="2:8" ht="12.75">
      <c r="B38" s="402" t="s">
        <v>222</v>
      </c>
      <c r="C38" s="430">
        <v>10</v>
      </c>
      <c r="D38" s="103" t="s">
        <v>223</v>
      </c>
      <c r="E38" s="396" t="s">
        <v>221</v>
      </c>
      <c r="F38" s="103" t="s">
        <v>230</v>
      </c>
      <c r="G38" s="392" t="s">
        <v>226</v>
      </c>
      <c r="H38" s="393" t="s">
        <v>173</v>
      </c>
    </row>
    <row r="39" spans="2:8" ht="12.75">
      <c r="B39" s="404"/>
      <c r="C39" s="106"/>
      <c r="D39" s="414"/>
      <c r="E39" s="397" t="s">
        <v>224</v>
      </c>
      <c r="F39" s="106"/>
      <c r="G39" s="394" t="s">
        <v>225</v>
      </c>
      <c r="H39" s="395" t="s">
        <v>227</v>
      </c>
    </row>
    <row r="40" spans="2:8" ht="12.75">
      <c r="B40" s="405" t="s">
        <v>228</v>
      </c>
      <c r="C40" s="431">
        <v>12.5</v>
      </c>
      <c r="D40" s="415">
        <v>200</v>
      </c>
      <c r="E40" s="398">
        <f>+C38*D40*1.26/1000</f>
        <v>2.52</v>
      </c>
      <c r="F40" s="400">
        <v>2.7</v>
      </c>
      <c r="G40" s="407">
        <f>+C40/F40</f>
        <v>4.62962962962963</v>
      </c>
      <c r="H40" s="408">
        <f>+G40+C38</f>
        <v>14.62962962962963</v>
      </c>
    </row>
    <row r="41" spans="2:8" ht="12.75">
      <c r="B41" s="406" t="s">
        <v>229</v>
      </c>
      <c r="C41" s="432">
        <v>10.8</v>
      </c>
      <c r="D41" s="416">
        <f>+D40</f>
        <v>200</v>
      </c>
      <c r="E41" s="399">
        <f>+C38*D41*1.26/1000</f>
        <v>2.52</v>
      </c>
      <c r="F41" s="401">
        <f>+E16</f>
        <v>7.85</v>
      </c>
      <c r="G41" s="409">
        <f>+C41/F41</f>
        <v>1.3757961783439492</v>
      </c>
      <c r="H41" s="410">
        <f>+G41+C38</f>
        <v>11.375796178343949</v>
      </c>
    </row>
    <row r="43" ht="12.75">
      <c r="B43" s="365" t="s">
        <v>233</v>
      </c>
    </row>
    <row r="44" ht="12.75">
      <c r="B44" s="365" t="s">
        <v>244</v>
      </c>
    </row>
    <row r="45" ht="12.75">
      <c r="B45" s="365"/>
    </row>
    <row r="46" spans="2:8" ht="12.75">
      <c r="B46" s="403"/>
      <c r="C46" s="247" t="s">
        <v>236</v>
      </c>
      <c r="D46" s="247" t="s">
        <v>237</v>
      </c>
      <c r="E46" s="420" t="s">
        <v>241</v>
      </c>
      <c r="F46" s="391"/>
      <c r="G46" s="423" t="s">
        <v>239</v>
      </c>
      <c r="H46" s="424"/>
    </row>
    <row r="47" spans="2:8" ht="12.75">
      <c r="B47" s="404"/>
      <c r="C47" s="414" t="s">
        <v>240</v>
      </c>
      <c r="D47" s="414"/>
      <c r="E47" s="421" t="s">
        <v>242</v>
      </c>
      <c r="F47" s="419" t="s">
        <v>243</v>
      </c>
      <c r="G47" s="425" t="s">
        <v>238</v>
      </c>
      <c r="H47" s="426" t="s">
        <v>144</v>
      </c>
    </row>
    <row r="48" spans="2:8" ht="12.75">
      <c r="B48" s="405" t="s">
        <v>235</v>
      </c>
      <c r="C48" s="422">
        <f>-C40-E40</f>
        <v>-15.02</v>
      </c>
      <c r="D48" s="417">
        <f>+H40</f>
        <v>14.62962962962963</v>
      </c>
      <c r="E48" s="422">
        <f>+D48</f>
        <v>14.62962962962963</v>
      </c>
      <c r="F48" s="398">
        <f>+E48*C16</f>
        <v>15.141666666666666</v>
      </c>
      <c r="G48" s="433">
        <f>+E48+C48</f>
        <v>-0.3903703703703698</v>
      </c>
      <c r="H48" s="434">
        <f>+F48+C48</f>
        <v>0.12166666666666615</v>
      </c>
    </row>
    <row r="49" spans="2:8" ht="12.75">
      <c r="B49" s="406" t="s">
        <v>234</v>
      </c>
      <c r="C49" s="428">
        <f>-C41-E41</f>
        <v>-13.32</v>
      </c>
      <c r="D49" s="418">
        <f>+H41</f>
        <v>11.375796178343949</v>
      </c>
      <c r="E49" s="413">
        <f>+D49</f>
        <v>11.375796178343949</v>
      </c>
      <c r="F49" s="399">
        <f>+E49*C16</f>
        <v>11.773949044585986</v>
      </c>
      <c r="G49" s="435">
        <f>+E49+C49</f>
        <v>-1.9442038216560515</v>
      </c>
      <c r="H49" s="436">
        <f>+F49+C49</f>
        <v>-1.5460509554140138</v>
      </c>
    </row>
    <row r="51" ht="12.75">
      <c r="B51" s="427" t="s">
        <v>245</v>
      </c>
    </row>
    <row r="53" spans="2:8" ht="12.75">
      <c r="B53" s="403"/>
      <c r="C53" s="247" t="s">
        <v>247</v>
      </c>
      <c r="D53" s="247" t="s">
        <v>237</v>
      </c>
      <c r="E53" s="420" t="s">
        <v>241</v>
      </c>
      <c r="F53" s="391"/>
      <c r="G53" s="423" t="s">
        <v>239</v>
      </c>
      <c r="H53" s="424"/>
    </row>
    <row r="54" spans="2:8" ht="12.75">
      <c r="B54" s="404"/>
      <c r="C54" s="414" t="s">
        <v>246</v>
      </c>
      <c r="D54" s="414"/>
      <c r="E54" s="421" t="s">
        <v>242</v>
      </c>
      <c r="F54" s="419" t="s">
        <v>243</v>
      </c>
      <c r="G54" s="425" t="s">
        <v>238</v>
      </c>
      <c r="H54" s="426" t="s">
        <v>144</v>
      </c>
    </row>
    <row r="55" spans="2:8" ht="12.75">
      <c r="B55" s="405" t="s">
        <v>235</v>
      </c>
      <c r="C55" s="398">
        <f>-C38*50*1.26/1000-C40</f>
        <v>-13.13</v>
      </c>
      <c r="D55" s="417">
        <f>+D48</f>
        <v>14.62962962962963</v>
      </c>
      <c r="E55" s="422">
        <f>+D55</f>
        <v>14.62962962962963</v>
      </c>
      <c r="F55" s="398">
        <f>+E55*C16</f>
        <v>15.141666666666666</v>
      </c>
      <c r="G55" s="433">
        <f>+E55+C55</f>
        <v>1.499629629629629</v>
      </c>
      <c r="H55" s="434">
        <f>+F55+C55</f>
        <v>2.011666666666665</v>
      </c>
    </row>
    <row r="56" spans="2:8" ht="12.75">
      <c r="B56" s="406" t="s">
        <v>234</v>
      </c>
      <c r="C56" s="399">
        <f>-C38*50*1.26/1000-C41</f>
        <v>-11.430000000000001</v>
      </c>
      <c r="D56" s="418">
        <f>+D49</f>
        <v>11.375796178343949</v>
      </c>
      <c r="E56" s="413">
        <f>+D56</f>
        <v>11.375796178343949</v>
      </c>
      <c r="F56" s="399">
        <f>+E56*C16</f>
        <v>11.773949044585986</v>
      </c>
      <c r="G56" s="435">
        <f>+E56+C56</f>
        <v>-0.05420382165605275</v>
      </c>
      <c r="H56" s="436">
        <f>+F56+C56</f>
        <v>0.34394904458598496</v>
      </c>
    </row>
    <row r="58" spans="5:8" ht="12.75">
      <c r="E58" s="427" t="s">
        <v>248</v>
      </c>
      <c r="G58" s="437">
        <f>+G55-G48</f>
        <v>1.8899999999999988</v>
      </c>
      <c r="H58" s="438"/>
    </row>
    <row r="61" ht="12.75">
      <c r="H61" s="299" t="s">
        <v>117</v>
      </c>
    </row>
  </sheetData>
  <sheetProtection/>
  <hyperlinks>
    <hyperlink ref="A1" location="Cockpit!B4" tooltip="Home" display="Home"/>
    <hyperlink ref="H61" location="Cockpit!B4" tooltip="Home" display="Home"/>
  </hyperlinks>
  <printOptions/>
  <pageMargins left="0.23" right="0.13" top="0.54" bottom="0.69" header="0.32" footer="0.49"/>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showGridLines="0" showRowColHeaders="0" zoomScalePageLayoutView="0" workbookViewId="0" topLeftCell="A1">
      <pane xSplit="1" ySplit="5" topLeftCell="B12" activePane="bottomRight" state="frozen"/>
      <selection pane="topLeft" activeCell="A1" sqref="A1"/>
      <selection pane="topRight" activeCell="B1" sqref="B1"/>
      <selection pane="bottomLeft" activeCell="A6" sqref="A6"/>
      <selection pane="bottomRight" activeCell="B31" sqref="B31"/>
    </sheetView>
  </sheetViews>
  <sheetFormatPr defaultColWidth="11.421875" defaultRowHeight="12.75"/>
  <cols>
    <col min="1" max="1" width="5.7109375" style="0" customWidth="1"/>
    <col min="2" max="2" width="4.7109375" style="0" customWidth="1"/>
    <col min="3" max="3" width="10.7109375" style="0" customWidth="1"/>
    <col min="4" max="4" width="15.7109375" style="0" bestFit="1" customWidth="1"/>
    <col min="5" max="5" width="13.8515625" style="0" bestFit="1" customWidth="1"/>
    <col min="6" max="6" width="15.7109375" style="0" customWidth="1"/>
    <col min="7" max="7" width="13.28125" style="0" bestFit="1" customWidth="1"/>
    <col min="8" max="8" width="2.7109375" style="0" customWidth="1"/>
    <col min="9" max="9" width="16.7109375" style="0" customWidth="1"/>
    <col min="10" max="10" width="3.00390625" style="0" customWidth="1"/>
    <col min="15" max="15" width="2.7109375" style="0" customWidth="1"/>
  </cols>
  <sheetData>
    <row r="1" spans="1:15" ht="24.75" customHeight="1">
      <c r="A1" s="299" t="s">
        <v>117</v>
      </c>
      <c r="B1" s="130" t="s">
        <v>102</v>
      </c>
      <c r="C1" s="130"/>
      <c r="D1" s="27"/>
      <c r="E1" s="27"/>
      <c r="F1" s="27"/>
      <c r="G1" s="27"/>
      <c r="H1" s="27"/>
      <c r="I1" s="27"/>
      <c r="J1" s="27"/>
      <c r="K1" s="27"/>
      <c r="L1" s="350"/>
      <c r="M1" s="350"/>
      <c r="N1" s="350"/>
      <c r="O1" s="350" t="s">
        <v>195</v>
      </c>
    </row>
    <row r="2" spans="2:15" ht="12.75">
      <c r="B2" s="131" t="s">
        <v>103</v>
      </c>
      <c r="C2" s="131"/>
      <c r="D2" s="27"/>
      <c r="E2" s="27"/>
      <c r="F2" s="27"/>
      <c r="G2" s="27"/>
      <c r="H2" s="27"/>
      <c r="I2" s="27"/>
      <c r="J2" s="27"/>
      <c r="K2" s="27"/>
      <c r="L2" s="132"/>
      <c r="M2" s="132"/>
      <c r="N2" s="132"/>
      <c r="O2" s="132" t="s">
        <v>101</v>
      </c>
    </row>
    <row r="3" spans="5:11" ht="12.75">
      <c r="E3" s="3"/>
      <c r="G3" s="3"/>
      <c r="I3" s="3"/>
      <c r="K3" s="3"/>
    </row>
    <row r="4" spans="1:15" ht="12.75">
      <c r="A4" s="54"/>
      <c r="B4" s="19" t="s">
        <v>181</v>
      </c>
      <c r="C4" s="19"/>
      <c r="D4" s="20"/>
      <c r="E4" s="20"/>
      <c r="F4" s="20"/>
      <c r="G4" s="20"/>
      <c r="H4" s="20"/>
      <c r="I4" s="20"/>
      <c r="J4" s="20"/>
      <c r="K4" s="20"/>
      <c r="L4" s="20"/>
      <c r="M4" s="20"/>
      <c r="N4" s="20"/>
      <c r="O4" s="20"/>
    </row>
    <row r="5" ht="1.5" customHeight="1"/>
    <row r="6" spans="2:15" ht="39.75" customHeight="1">
      <c r="B6" s="568" t="s">
        <v>187</v>
      </c>
      <c r="C6" s="568"/>
      <c r="D6" s="568"/>
      <c r="E6" s="568"/>
      <c r="F6" s="568"/>
      <c r="G6" s="568"/>
      <c r="H6" s="568"/>
      <c r="I6" s="568"/>
      <c r="J6" s="568"/>
      <c r="K6" s="568"/>
      <c r="L6" s="557"/>
      <c r="M6" s="557"/>
      <c r="N6" s="557"/>
      <c r="O6" s="27"/>
    </row>
    <row r="7" spans="2:15" ht="30" customHeight="1">
      <c r="B7" s="568" t="s">
        <v>196</v>
      </c>
      <c r="C7" s="568"/>
      <c r="D7" s="568"/>
      <c r="E7" s="568"/>
      <c r="F7" s="568"/>
      <c r="G7" s="568"/>
      <c r="H7" s="568"/>
      <c r="I7" s="568"/>
      <c r="J7" s="568"/>
      <c r="K7" s="568"/>
      <c r="L7" s="557"/>
      <c r="M7" s="557"/>
      <c r="N7" s="557"/>
      <c r="O7" s="27"/>
    </row>
    <row r="8" spans="2:15" ht="4.5" customHeight="1" thickBot="1">
      <c r="B8" s="27"/>
      <c r="C8" s="27"/>
      <c r="D8" s="27"/>
      <c r="E8" s="27"/>
      <c r="F8" s="27"/>
      <c r="G8" s="27"/>
      <c r="H8" s="27"/>
      <c r="I8" s="27"/>
      <c r="J8" s="27"/>
      <c r="K8" s="27"/>
      <c r="L8" s="27"/>
      <c r="M8" s="27"/>
      <c r="N8" s="27"/>
      <c r="O8" s="27"/>
    </row>
    <row r="9" spans="2:15" ht="12.75">
      <c r="B9" s="307" t="s">
        <v>183</v>
      </c>
      <c r="C9" s="308"/>
      <c r="D9" s="336"/>
      <c r="E9" s="351" t="s">
        <v>104</v>
      </c>
      <c r="F9" s="352" t="s">
        <v>105</v>
      </c>
      <c r="G9" s="27"/>
      <c r="H9" s="27"/>
      <c r="I9" s="27"/>
      <c r="J9" s="307" t="s">
        <v>193</v>
      </c>
      <c r="K9" s="308"/>
      <c r="L9" s="308"/>
      <c r="M9" s="308"/>
      <c r="N9" s="308"/>
      <c r="O9" s="27"/>
    </row>
    <row r="10" spans="7:15" ht="3" customHeight="1" thickBot="1">
      <c r="G10" s="27"/>
      <c r="H10" s="27"/>
      <c r="I10" s="27"/>
      <c r="J10" s="346"/>
      <c r="K10" s="347"/>
      <c r="L10" s="348"/>
      <c r="M10" s="55"/>
      <c r="N10" s="349"/>
      <c r="O10" s="27"/>
    </row>
    <row r="11" spans="2:15" ht="12.75">
      <c r="B11" s="307" t="s">
        <v>152</v>
      </c>
      <c r="C11" s="308"/>
      <c r="D11" s="333" t="s">
        <v>58</v>
      </c>
      <c r="E11" s="333" t="s">
        <v>32</v>
      </c>
      <c r="F11" s="334" t="s">
        <v>173</v>
      </c>
      <c r="G11" s="27"/>
      <c r="H11" s="27"/>
      <c r="I11" s="27"/>
      <c r="J11" s="310" t="s">
        <v>152</v>
      </c>
      <c r="K11" s="312"/>
      <c r="L11" s="313" t="s">
        <v>184</v>
      </c>
      <c r="M11" s="313" t="s">
        <v>32</v>
      </c>
      <c r="N11" s="314" t="s">
        <v>185</v>
      </c>
      <c r="O11" s="27"/>
    </row>
    <row r="12" spans="2:15" ht="12.75">
      <c r="B12" s="335" t="s">
        <v>188</v>
      </c>
      <c r="C12" s="324"/>
      <c r="D12" s="325">
        <v>10</v>
      </c>
      <c r="E12" s="326">
        <v>60</v>
      </c>
      <c r="F12" s="456">
        <f>+D12*E12</f>
        <v>600</v>
      </c>
      <c r="G12" s="27"/>
      <c r="H12" s="27"/>
      <c r="I12" s="27"/>
      <c r="J12" s="329" t="str">
        <f>+B12</f>
        <v>Empfängerflasche</v>
      </c>
      <c r="K12" s="315"/>
      <c r="L12" s="316">
        <f>+D12</f>
        <v>10</v>
      </c>
      <c r="M12" s="298">
        <f>+N16</f>
        <v>195.48387096774192</v>
      </c>
      <c r="N12" s="456">
        <f>+L12*M12</f>
        <v>1954.8387096774193</v>
      </c>
      <c r="O12" s="27"/>
    </row>
    <row r="13" spans="2:15" ht="12.75">
      <c r="B13" s="335" t="s">
        <v>189</v>
      </c>
      <c r="C13" s="324"/>
      <c r="D13" s="325">
        <v>300</v>
      </c>
      <c r="E13" s="326">
        <v>200</v>
      </c>
      <c r="F13" s="456">
        <f>+D13*E13</f>
        <v>60000</v>
      </c>
      <c r="G13" s="27"/>
      <c r="H13" s="27"/>
      <c r="I13" s="27"/>
      <c r="J13" s="329" t="str">
        <f>+B13</f>
        <v>Spenderflasche</v>
      </c>
      <c r="K13" s="315"/>
      <c r="L13" s="316">
        <f>+D13</f>
        <v>300</v>
      </c>
      <c r="M13" s="298">
        <f>+M12</f>
        <v>195.48387096774192</v>
      </c>
      <c r="N13" s="456">
        <f>+L13*M13</f>
        <v>58645.161290322576</v>
      </c>
      <c r="O13" s="27"/>
    </row>
    <row r="14" spans="2:15" ht="13.5" thickBot="1">
      <c r="B14" s="330" t="s">
        <v>197</v>
      </c>
      <c r="C14" s="331"/>
      <c r="D14" s="332">
        <f>+D13+D12</f>
        <v>310</v>
      </c>
      <c r="E14" s="353">
        <f>+N16</f>
        <v>195.48387096774192</v>
      </c>
      <c r="F14" s="457">
        <f>+F13+F12</f>
        <v>60600</v>
      </c>
      <c r="G14" s="27"/>
      <c r="H14" s="27"/>
      <c r="I14" s="27"/>
      <c r="J14" s="330" t="s">
        <v>186</v>
      </c>
      <c r="K14" s="331"/>
      <c r="L14" s="332">
        <f>+L13+L12</f>
        <v>310</v>
      </c>
      <c r="M14" s="331"/>
      <c r="N14" s="457">
        <f>+N13+N12</f>
        <v>60599.99999999999</v>
      </c>
      <c r="O14" s="27"/>
    </row>
    <row r="15" spans="2:15" ht="13.5" thickBot="1">
      <c r="B15" s="187"/>
      <c r="C15" s="187"/>
      <c r="D15" s="354"/>
      <c r="E15" s="27"/>
      <c r="F15" s="355"/>
      <c r="G15" s="27"/>
      <c r="H15" s="27"/>
      <c r="I15" s="27"/>
      <c r="J15" s="27"/>
      <c r="K15" s="27"/>
      <c r="L15" s="27"/>
      <c r="M15" s="27"/>
      <c r="N15" s="27"/>
      <c r="O15" s="27"/>
    </row>
    <row r="16" spans="2:15" ht="13.5" thickBot="1">
      <c r="B16" s="27"/>
      <c r="C16" s="27"/>
      <c r="D16" s="27"/>
      <c r="E16" s="27"/>
      <c r="F16" s="27"/>
      <c r="G16" s="27"/>
      <c r="H16" s="27"/>
      <c r="I16" s="27"/>
      <c r="J16" s="356" t="s">
        <v>198</v>
      </c>
      <c r="K16" s="357"/>
      <c r="L16" s="358">
        <f>+F14</f>
        <v>60600</v>
      </c>
      <c r="M16" s="359">
        <f>+D14</f>
        <v>310</v>
      </c>
      <c r="N16" s="360">
        <f>+L16/M16</f>
        <v>195.48387096774192</v>
      </c>
      <c r="O16" s="27"/>
    </row>
    <row r="17" spans="2:15" ht="4.5" customHeight="1" thickBot="1" thickTop="1">
      <c r="B17" s="187"/>
      <c r="C17" s="187"/>
      <c r="D17" s="361"/>
      <c r="E17" s="362"/>
      <c r="F17" s="363"/>
      <c r="G17" s="27"/>
      <c r="H17" s="27"/>
      <c r="I17" s="27"/>
      <c r="J17" s="27"/>
      <c r="K17" s="27"/>
      <c r="L17" s="27"/>
      <c r="M17" s="27"/>
      <c r="N17" s="27"/>
      <c r="O17" s="27"/>
    </row>
    <row r="18" spans="2:15" ht="13.5" thickBot="1">
      <c r="B18" s="321" t="s">
        <v>192</v>
      </c>
      <c r="C18" s="322"/>
      <c r="D18" s="322"/>
      <c r="E18" s="322"/>
      <c r="F18" s="322"/>
      <c r="G18" s="323"/>
      <c r="H18" s="27"/>
      <c r="I18" s="307" t="s">
        <v>193</v>
      </c>
      <c r="J18" s="308"/>
      <c r="K18" s="308"/>
      <c r="L18" s="308"/>
      <c r="M18" s="308"/>
      <c r="N18" s="309"/>
      <c r="O18" s="27"/>
    </row>
    <row r="19" spans="2:15" ht="12.75">
      <c r="B19" s="321" t="s">
        <v>194</v>
      </c>
      <c r="C19" s="340"/>
      <c r="D19" s="340"/>
      <c r="E19" s="340"/>
      <c r="F19" s="340"/>
      <c r="G19" s="341"/>
      <c r="H19" s="27"/>
      <c r="I19" s="310" t="s">
        <v>190</v>
      </c>
      <c r="J19" s="311"/>
      <c r="K19" s="312" t="s">
        <v>152</v>
      </c>
      <c r="L19" s="313" t="s">
        <v>184</v>
      </c>
      <c r="M19" s="313" t="s">
        <v>32</v>
      </c>
      <c r="N19" s="314" t="s">
        <v>173</v>
      </c>
      <c r="O19" s="27"/>
    </row>
    <row r="20" spans="2:15" ht="3" customHeight="1">
      <c r="B20" s="343"/>
      <c r="C20" s="344"/>
      <c r="D20" s="344"/>
      <c r="E20" s="344"/>
      <c r="F20" s="344"/>
      <c r="G20" s="345"/>
      <c r="H20" s="27"/>
      <c r="I20" s="346"/>
      <c r="J20" s="368"/>
      <c r="K20" s="347"/>
      <c r="L20" s="369"/>
      <c r="M20" s="369"/>
      <c r="N20" s="370"/>
      <c r="O20" s="27"/>
    </row>
    <row r="21" spans="2:15" ht="12.75">
      <c r="B21" s="310" t="s">
        <v>190</v>
      </c>
      <c r="C21" s="311"/>
      <c r="D21" s="312" t="s">
        <v>152</v>
      </c>
      <c r="E21" s="313" t="s">
        <v>58</v>
      </c>
      <c r="F21" s="313" t="s">
        <v>32</v>
      </c>
      <c r="G21" s="314" t="s">
        <v>173</v>
      </c>
      <c r="H21" s="27"/>
      <c r="I21" s="364" t="str">
        <f>+D22</f>
        <v>Empfängerflasche</v>
      </c>
      <c r="J21" s="127"/>
      <c r="K21" s="365"/>
      <c r="L21" s="316">
        <f>+E22</f>
        <v>10</v>
      </c>
      <c r="M21" s="298">
        <f>+F22</f>
        <v>50</v>
      </c>
      <c r="N21" s="456">
        <f>+L21*M21</f>
        <v>500</v>
      </c>
      <c r="O21" s="27"/>
    </row>
    <row r="22" spans="2:15" ht="12.75">
      <c r="B22" s="337"/>
      <c r="C22" s="338"/>
      <c r="D22" s="324" t="s">
        <v>188</v>
      </c>
      <c r="E22" s="325">
        <v>10</v>
      </c>
      <c r="F22" s="326">
        <v>50</v>
      </c>
      <c r="G22" s="456">
        <f>+E22*F22</f>
        <v>500</v>
      </c>
      <c r="H22" s="27"/>
      <c r="I22" s="317">
        <v>1</v>
      </c>
      <c r="J22" s="127"/>
      <c r="K22" s="365"/>
      <c r="L22" s="305">
        <f>VLOOKUP(I22,B21:G26,4,FALSE)</f>
        <v>50</v>
      </c>
      <c r="M22" s="306">
        <f>VLOOKUP(I22,B21:G26,5,FALSE)</f>
        <v>110</v>
      </c>
      <c r="N22" s="456">
        <f>+L22*M22</f>
        <v>5500</v>
      </c>
      <c r="O22" s="27"/>
    </row>
    <row r="23" spans="2:15" ht="13.5" thickBot="1">
      <c r="B23" s="327">
        <v>3</v>
      </c>
      <c r="C23" s="338"/>
      <c r="D23" s="324" t="s">
        <v>189</v>
      </c>
      <c r="E23" s="325">
        <v>15</v>
      </c>
      <c r="F23" s="326">
        <v>140</v>
      </c>
      <c r="G23" s="456">
        <f>+E23*F23</f>
        <v>2100</v>
      </c>
      <c r="H23" s="27"/>
      <c r="I23" s="319" t="s">
        <v>191</v>
      </c>
      <c r="J23" s="320"/>
      <c r="K23" s="366"/>
      <c r="L23" s="304">
        <f>+L22+L21</f>
        <v>60</v>
      </c>
      <c r="M23" s="342">
        <f>+N23/L23</f>
        <v>100</v>
      </c>
      <c r="N23" s="459">
        <f>+N22+N21</f>
        <v>6000</v>
      </c>
      <c r="O23" s="27"/>
    </row>
    <row r="24" spans="2:15" ht="13.5" thickTop="1">
      <c r="B24" s="327">
        <v>2</v>
      </c>
      <c r="C24" s="338"/>
      <c r="D24" s="324" t="s">
        <v>189</v>
      </c>
      <c r="E24" s="325">
        <v>15</v>
      </c>
      <c r="F24" s="326">
        <v>120</v>
      </c>
      <c r="G24" s="456">
        <f>+E24*F24</f>
        <v>1800</v>
      </c>
      <c r="H24" s="27"/>
      <c r="I24" s="317" t="str">
        <f>+I21</f>
        <v>Empfängerflasche</v>
      </c>
      <c r="J24" s="127"/>
      <c r="K24" s="55"/>
      <c r="L24" s="303">
        <f>+L21</f>
        <v>10</v>
      </c>
      <c r="M24" s="297">
        <f>+M23</f>
        <v>100</v>
      </c>
      <c r="N24" s="456">
        <f>+L24*M24</f>
        <v>1000</v>
      </c>
      <c r="O24" s="27"/>
    </row>
    <row r="25" spans="2:15" ht="12.75">
      <c r="B25" s="327">
        <v>1</v>
      </c>
      <c r="C25" s="338"/>
      <c r="D25" s="324" t="s">
        <v>189</v>
      </c>
      <c r="E25" s="325">
        <v>50</v>
      </c>
      <c r="F25" s="326">
        <v>110</v>
      </c>
      <c r="G25" s="456">
        <f>+E25*F25</f>
        <v>5500</v>
      </c>
      <c r="H25" s="27"/>
      <c r="I25" s="317">
        <v>2</v>
      </c>
      <c r="J25" s="127"/>
      <c r="K25" s="365"/>
      <c r="L25" s="316">
        <f>VLOOKUP(I25,B21:G26,4,FALSE)</f>
        <v>15</v>
      </c>
      <c r="M25" s="298">
        <f>VLOOKUP(I25,B21:G26,5,FALSE)</f>
        <v>120</v>
      </c>
      <c r="N25" s="456">
        <f>+L25*M25</f>
        <v>1800</v>
      </c>
      <c r="O25" s="27"/>
    </row>
    <row r="26" spans="2:15" ht="13.5" thickBot="1">
      <c r="B26" s="328">
        <v>4</v>
      </c>
      <c r="C26" s="339"/>
      <c r="D26" s="300" t="s">
        <v>189</v>
      </c>
      <c r="E26" s="301"/>
      <c r="F26" s="302"/>
      <c r="G26" s="458">
        <f>+E26*F26</f>
        <v>0</v>
      </c>
      <c r="H26" s="27"/>
      <c r="I26" s="319" t="s">
        <v>191</v>
      </c>
      <c r="J26" s="320"/>
      <c r="K26" s="366"/>
      <c r="L26" s="296">
        <f>+L25+L24</f>
        <v>25</v>
      </c>
      <c r="M26" s="342">
        <f>+N26/L26</f>
        <v>112</v>
      </c>
      <c r="N26" s="459">
        <f>+N25+N24</f>
        <v>2800</v>
      </c>
      <c r="O26" s="27"/>
    </row>
    <row r="27" spans="2:15" ht="12.75">
      <c r="B27" s="367"/>
      <c r="C27" s="367"/>
      <c r="D27" s="27"/>
      <c r="E27" s="27"/>
      <c r="F27" s="27"/>
      <c r="G27" s="27"/>
      <c r="H27" s="27"/>
      <c r="I27" s="317" t="str">
        <f>+I24</f>
        <v>Empfängerflasche</v>
      </c>
      <c r="J27" s="127"/>
      <c r="K27" s="55"/>
      <c r="L27" s="303">
        <f>+L24</f>
        <v>10</v>
      </c>
      <c r="M27" s="297">
        <f>+M26</f>
        <v>112</v>
      </c>
      <c r="N27" s="456">
        <f>+L27*M27</f>
        <v>1120</v>
      </c>
      <c r="O27" s="27"/>
    </row>
    <row r="28" spans="2:15" ht="12.75">
      <c r="B28" s="367"/>
      <c r="C28" s="367"/>
      <c r="D28" s="27"/>
      <c r="E28" s="27"/>
      <c r="F28" s="27"/>
      <c r="G28" s="27"/>
      <c r="H28" s="27"/>
      <c r="I28" s="317">
        <v>3</v>
      </c>
      <c r="J28" s="127"/>
      <c r="K28" s="365"/>
      <c r="L28" s="316">
        <f>VLOOKUP(I28,B21:G26,4,FALSE)</f>
        <v>15</v>
      </c>
      <c r="M28" s="298">
        <f>VLOOKUP(I28,B21:G26,5,FALSE)</f>
        <v>140</v>
      </c>
      <c r="N28" s="456">
        <f>+L28*M28</f>
        <v>2100</v>
      </c>
      <c r="O28" s="27"/>
    </row>
    <row r="29" spans="2:15" ht="13.5" thickBot="1">
      <c r="B29" s="27"/>
      <c r="C29" s="27"/>
      <c r="D29" s="27"/>
      <c r="E29" s="27"/>
      <c r="F29" s="27"/>
      <c r="G29" s="27"/>
      <c r="H29" s="27"/>
      <c r="I29" s="319" t="s">
        <v>191</v>
      </c>
      <c r="J29" s="320"/>
      <c r="K29" s="366"/>
      <c r="L29" s="296">
        <f>+L28+L27</f>
        <v>25</v>
      </c>
      <c r="M29" s="342">
        <f>+N29/L29</f>
        <v>128.8</v>
      </c>
      <c r="N29" s="459">
        <f>+N28+N27</f>
        <v>3220</v>
      </c>
      <c r="O29" s="27"/>
    </row>
    <row r="30" spans="2:15" ht="13.5" thickTop="1">
      <c r="B30" s="553" t="s">
        <v>327</v>
      </c>
      <c r="C30" s="27"/>
      <c r="D30" s="27"/>
      <c r="E30" s="27"/>
      <c r="F30" s="27"/>
      <c r="G30" s="27"/>
      <c r="H30" s="27"/>
      <c r="I30" s="317"/>
      <c r="J30" s="127"/>
      <c r="K30" s="55"/>
      <c r="L30" s="303">
        <f>+L27</f>
        <v>10</v>
      </c>
      <c r="M30" s="297">
        <f>+M29</f>
        <v>128.8</v>
      </c>
      <c r="N30" s="456">
        <f>+L30*M30</f>
        <v>1288</v>
      </c>
      <c r="O30" s="27"/>
    </row>
    <row r="31" spans="2:15" ht="12.75">
      <c r="B31" s="31" t="s">
        <v>328</v>
      </c>
      <c r="C31" s="27"/>
      <c r="D31" s="27"/>
      <c r="E31" s="27"/>
      <c r="F31" s="27"/>
      <c r="G31" s="27"/>
      <c r="H31" s="27"/>
      <c r="I31" s="318">
        <v>4</v>
      </c>
      <c r="J31" s="54"/>
      <c r="K31" s="365"/>
      <c r="L31" s="316">
        <f>VLOOKUP(I31,B21:G26,4,FALSE)</f>
        <v>0</v>
      </c>
      <c r="M31" s="298">
        <f>VLOOKUP(I31,B21:G26,5,FALSE)</f>
        <v>0</v>
      </c>
      <c r="N31" s="456">
        <f>+L31*M31</f>
        <v>0</v>
      </c>
      <c r="O31" s="27"/>
    </row>
    <row r="32" spans="2:15" ht="12.75">
      <c r="B32" s="552" t="s">
        <v>329</v>
      </c>
      <c r="C32" s="27"/>
      <c r="D32" s="27"/>
      <c r="E32" s="27"/>
      <c r="F32" s="27"/>
      <c r="G32" s="27"/>
      <c r="H32" s="27"/>
      <c r="I32" s="317"/>
      <c r="J32" s="54"/>
      <c r="K32" s="365"/>
      <c r="L32" s="316"/>
      <c r="M32" s="298"/>
      <c r="N32" s="456"/>
      <c r="O32" s="27"/>
    </row>
    <row r="33" spans="2:15" ht="12.75">
      <c r="B33" s="552" t="s">
        <v>330</v>
      </c>
      <c r="C33" s="27"/>
      <c r="D33" s="27"/>
      <c r="E33" s="27"/>
      <c r="F33" s="27"/>
      <c r="G33" s="27"/>
      <c r="H33" s="27"/>
      <c r="I33" s="317"/>
      <c r="J33" s="54"/>
      <c r="K33" s="365"/>
      <c r="L33" s="316"/>
      <c r="M33" s="298"/>
      <c r="N33" s="456"/>
      <c r="O33" s="27"/>
    </row>
    <row r="34" spans="2:15" ht="13.5" thickBot="1">
      <c r="B34" s="552" t="s">
        <v>331</v>
      </c>
      <c r="C34" s="27"/>
      <c r="D34" s="27"/>
      <c r="E34" s="27"/>
      <c r="F34" s="27"/>
      <c r="G34" s="27"/>
      <c r="H34" s="27"/>
      <c r="I34" s="319" t="s">
        <v>191</v>
      </c>
      <c r="J34" s="320"/>
      <c r="K34" s="366"/>
      <c r="L34" s="296">
        <f>+L31+L30</f>
        <v>10</v>
      </c>
      <c r="M34" s="342">
        <f>+N34/L34</f>
        <v>128.8</v>
      </c>
      <c r="N34" s="459">
        <f>+N31+N30</f>
        <v>1288</v>
      </c>
      <c r="O34" s="27"/>
    </row>
    <row r="35" spans="2:15" ht="13.5" thickTop="1">
      <c r="B35" s="27"/>
      <c r="C35" s="27"/>
      <c r="D35" s="27"/>
      <c r="E35" s="27"/>
      <c r="F35" s="27"/>
      <c r="G35" s="27"/>
      <c r="H35" s="27"/>
      <c r="I35" s="27"/>
      <c r="J35" s="27"/>
      <c r="K35" s="27"/>
      <c r="L35" s="27"/>
      <c r="M35" s="27"/>
      <c r="N35" s="27"/>
      <c r="O35" s="27"/>
    </row>
    <row r="38" ht="12.75">
      <c r="N38" s="299" t="s">
        <v>117</v>
      </c>
    </row>
  </sheetData>
  <sheetProtection/>
  <mergeCells count="2">
    <mergeCell ref="B6:N6"/>
    <mergeCell ref="B7:N7"/>
  </mergeCells>
  <hyperlinks>
    <hyperlink ref="A1" location="Cockpit!B4" tooltip="Home" display="Home"/>
    <hyperlink ref="O1" r:id="rId1" display="http://www.shuttle2.de"/>
    <hyperlink ref="N38" location="Cockpit!B4" tooltip="Home" display="Home"/>
  </hyperlinks>
  <printOptions/>
  <pageMargins left="0.23" right="0.13" top="0.54" bottom="0.69" header="0.32" footer="0.49"/>
  <pageSetup fitToHeight="1" fitToWidth="1" horizontalDpi="300" verticalDpi="300" orientation="landscape" paperSize="9" scale="94"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L25"/>
  <sheetViews>
    <sheetView showGridLines="0" showRowColHeaders="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K25" sqref="K25"/>
    </sheetView>
  </sheetViews>
  <sheetFormatPr defaultColWidth="11.421875" defaultRowHeight="12.75"/>
  <cols>
    <col min="1" max="1" width="5.7109375" style="0" customWidth="1"/>
    <col min="2" max="2" width="11.8515625" style="0" customWidth="1"/>
    <col min="3" max="3" width="15.7109375" style="0" bestFit="1" customWidth="1"/>
    <col min="4" max="4" width="5.7109375" style="0" customWidth="1"/>
    <col min="5" max="5" width="15.7109375" style="0" customWidth="1"/>
    <col min="6" max="6" width="13.28125" style="0" bestFit="1" customWidth="1"/>
    <col min="7" max="7" width="16.7109375" style="0" customWidth="1"/>
    <col min="8" max="8" width="24.421875" style="0" bestFit="1" customWidth="1"/>
    <col min="9" max="9" width="5.7109375" style="0" customWidth="1"/>
    <col min="10" max="10" width="12.7109375" style="0" customWidth="1"/>
    <col min="12" max="12" width="2.7109375" style="0" customWidth="1"/>
  </cols>
  <sheetData>
    <row r="1" spans="1:12" ht="24.75" customHeight="1">
      <c r="A1" s="299" t="s">
        <v>117</v>
      </c>
      <c r="B1" s="130" t="s">
        <v>207</v>
      </c>
      <c r="C1" s="27"/>
      <c r="D1" s="27"/>
      <c r="E1" s="27"/>
      <c r="F1" s="27"/>
      <c r="G1" s="27"/>
      <c r="H1" s="27"/>
      <c r="I1" s="350"/>
      <c r="J1" s="350"/>
      <c r="K1" s="350"/>
      <c r="L1" s="350" t="s">
        <v>195</v>
      </c>
    </row>
    <row r="2" spans="2:12" ht="12.75">
      <c r="B2" s="131" t="s">
        <v>208</v>
      </c>
      <c r="C2" s="27"/>
      <c r="D2" s="27"/>
      <c r="E2" s="27"/>
      <c r="F2" s="27"/>
      <c r="G2" s="27"/>
      <c r="H2" s="27"/>
      <c r="I2" s="132"/>
      <c r="J2" s="132"/>
      <c r="K2" s="132"/>
      <c r="L2" s="132" t="s">
        <v>101</v>
      </c>
    </row>
    <row r="3" spans="4:8" ht="12.75">
      <c r="D3" s="3"/>
      <c r="F3" s="3"/>
      <c r="G3" s="3"/>
      <c r="H3" s="3"/>
    </row>
    <row r="4" spans="1:12" ht="12.75">
      <c r="A4" s="54"/>
      <c r="B4" s="19" t="s">
        <v>199</v>
      </c>
      <c r="C4" s="20"/>
      <c r="D4" s="20"/>
      <c r="E4" s="20"/>
      <c r="F4" s="20"/>
      <c r="G4" s="20"/>
      <c r="H4" s="20"/>
      <c r="I4" s="20"/>
      <c r="J4" s="20"/>
      <c r="K4" s="20"/>
      <c r="L4" s="20"/>
    </row>
    <row r="6" spans="2:12" ht="49.5" customHeight="1">
      <c r="B6" s="569" t="s">
        <v>201</v>
      </c>
      <c r="C6" s="569"/>
      <c r="D6" s="569"/>
      <c r="E6" s="569"/>
      <c r="F6" s="569"/>
      <c r="G6" s="569"/>
      <c r="H6" s="569"/>
      <c r="I6" s="569"/>
      <c r="J6" s="569"/>
      <c r="K6" s="569"/>
      <c r="L6" s="569"/>
    </row>
    <row r="8" ht="12.75">
      <c r="B8" s="210"/>
    </row>
    <row r="11" spans="2:11" ht="39.75" customHeight="1">
      <c r="B11" s="569" t="s">
        <v>213</v>
      </c>
      <c r="C11" s="569"/>
      <c r="D11" s="569"/>
      <c r="E11" s="569"/>
      <c r="F11" s="569"/>
      <c r="G11" s="569"/>
      <c r="H11" s="569"/>
      <c r="I11" s="569"/>
      <c r="J11" s="569"/>
      <c r="K11" s="569"/>
    </row>
    <row r="12" ht="12.75">
      <c r="B12" t="s">
        <v>212</v>
      </c>
    </row>
    <row r="13" ht="13.5" thickBot="1"/>
    <row r="14" spans="2:5" ht="13.5" thickBot="1">
      <c r="B14" s="372" t="s">
        <v>104</v>
      </c>
      <c r="C14" s="376" t="s">
        <v>105</v>
      </c>
      <c r="E14" s="1" t="s">
        <v>210</v>
      </c>
    </row>
    <row r="15" spans="2:5" ht="12.75">
      <c r="B15" s="374">
        <v>-10</v>
      </c>
      <c r="C15" s="377">
        <f>331.5*SQRT(1+(1/273.15)*B15)</f>
        <v>325.37532693378154</v>
      </c>
      <c r="E15" t="s">
        <v>211</v>
      </c>
    </row>
    <row r="16" spans="2:5" ht="12.75">
      <c r="B16" s="374">
        <v>-5</v>
      </c>
      <c r="C16" s="377">
        <f aca="true" t="shared" si="0" ref="C16:C21">331.5*SQRT(1+(1/273.15)*B16)</f>
        <v>328.4519396938198</v>
      </c>
      <c r="E16" t="s">
        <v>214</v>
      </c>
    </row>
    <row r="17" spans="2:3" ht="12.75">
      <c r="B17" s="374">
        <v>0</v>
      </c>
      <c r="C17" s="377">
        <f t="shared" si="0"/>
        <v>331.5</v>
      </c>
    </row>
    <row r="18" spans="2:5" ht="12.75">
      <c r="B18" s="374">
        <v>5</v>
      </c>
      <c r="C18" s="377">
        <f t="shared" si="0"/>
        <v>334.5202883404344</v>
      </c>
      <c r="E18" t="s">
        <v>202</v>
      </c>
    </row>
    <row r="19" spans="2:3" ht="13.5" thickBot="1">
      <c r="B19" s="374">
        <v>10</v>
      </c>
      <c r="C19" s="377">
        <f t="shared" si="0"/>
        <v>337.51355028018475</v>
      </c>
    </row>
    <row r="20" spans="2:11" ht="13.5" thickBot="1">
      <c r="B20" s="374">
        <v>15</v>
      </c>
      <c r="C20" s="377">
        <f t="shared" si="0"/>
        <v>340.4804986105697</v>
      </c>
      <c r="E20" s="379" t="s">
        <v>203</v>
      </c>
      <c r="F20" s="380" t="s">
        <v>205</v>
      </c>
      <c r="G20" s="380" t="s">
        <v>204</v>
      </c>
      <c r="H20" s="381" t="s">
        <v>206</v>
      </c>
      <c r="J20" s="373" t="s">
        <v>209</v>
      </c>
      <c r="K20" s="386">
        <f>+VLOOKUP(E21,B14:C21,1,FALSE)</f>
        <v>20</v>
      </c>
    </row>
    <row r="21" spans="2:11" ht="13.5" thickBot="1">
      <c r="B21" s="375">
        <v>20</v>
      </c>
      <c r="C21" s="378">
        <f t="shared" si="0"/>
        <v>343.4218153313349</v>
      </c>
      <c r="E21" s="382">
        <v>20</v>
      </c>
      <c r="F21" s="383">
        <v>0.035</v>
      </c>
      <c r="G21" s="384">
        <v>10</v>
      </c>
      <c r="H21" s="385">
        <f>1449+(4.6*E21)-(0.05*(E21^2))+(1.4*(F21*100-35))+(0.017*G21)</f>
        <v>1477.0700000000002</v>
      </c>
      <c r="J21" s="570">
        <f>+H21/+VLOOKUP(E21,B14:C21,2,FALSE)</f>
        <v>4.301037191172367</v>
      </c>
      <c r="K21" s="571"/>
    </row>
    <row r="23" ht="12.75">
      <c r="B23" s="1" t="s">
        <v>215</v>
      </c>
    </row>
    <row r="25" ht="12.75">
      <c r="K25" s="299" t="s">
        <v>117</v>
      </c>
    </row>
  </sheetData>
  <sheetProtection/>
  <mergeCells count="3">
    <mergeCell ref="B6:L6"/>
    <mergeCell ref="B11:K11"/>
    <mergeCell ref="J21:K21"/>
  </mergeCells>
  <hyperlinks>
    <hyperlink ref="A1" location="Cockpit!B4" tooltip="Home" display="Home"/>
    <hyperlink ref="L1" r:id="rId1" display="http://www.shuttle2.de"/>
    <hyperlink ref="K25" location="Cockpit!B4" tooltip="Home" display="Home"/>
  </hyperlinks>
  <printOptions/>
  <pageMargins left="0.23" right="0.13" top="0.54" bottom="0.69" header="0.32" footer="0.49"/>
  <pageSetup fitToHeight="1" fitToWidth="1" horizontalDpi="300" verticalDpi="3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Tauchformlen</dc:title>
  <dc:subject/>
  <dc:creator>Hans Schach</dc:creator>
  <cp:keywords/>
  <dc:description/>
  <cp:lastModifiedBy>buddi</cp:lastModifiedBy>
  <cp:lastPrinted>2008-01-08T15:04:50Z</cp:lastPrinted>
  <dcterms:created xsi:type="dcterms:W3CDTF">2005-09-13T08:17:40Z</dcterms:created>
  <dcterms:modified xsi:type="dcterms:W3CDTF">2011-01-05T09:26:22Z</dcterms:modified>
  <cp:category>Dive</cp:category>
  <cp:version/>
  <cp:contentType/>
  <cp:contentStatus/>
</cp:coreProperties>
</file>

<file path=docProps/custom.xml><?xml version="1.0" encoding="utf-8"?>
<Properties xmlns="http://schemas.openxmlformats.org/officeDocument/2006/custom-properties" xmlns:vt="http://schemas.openxmlformats.org/officeDocument/2006/docPropsVTypes"/>
</file>